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Gqa8yspMe5N1CFXxHjb8e/5l3KvFVpaI1kawdrY5wWUWCH0mWHyAiPpdHsuuTL8s5/WkD/f8EkRNkMgHi+hC8g==" workbookSaltValue="qmKYwHeTC9xUiTxgKT+JI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BF17" i="8" l="1"/>
  <c r="X12" i="17"/>
  <c r="R8" i="9"/>
  <c r="R13" i="17"/>
  <c r="P13" i="14"/>
  <c r="BG17" i="13"/>
  <c r="X12" i="21"/>
  <c r="AP17" i="20"/>
  <c r="BH9" i="16"/>
  <c r="BL19" i="11"/>
  <c r="V16" i="11"/>
  <c r="BJ22" i="11"/>
  <c r="BF13" i="11"/>
  <c r="BJ18" i="11"/>
  <c r="BG25" i="11"/>
  <c r="BG10" i="11"/>
  <c r="BH16"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K9" i="12"/>
  <c r="BF23" i="13"/>
  <c r="V11"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M17" i="11"/>
  <c r="BF21" i="11"/>
  <c r="P16" i="17"/>
  <c r="P23" i="17" s="1"/>
  <c r="P31" i="17" s="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P18" i="11" s="1"/>
  <c r="BH17" i="11"/>
  <c r="AQ12" i="21"/>
  <c r="BH25" i="11"/>
  <c r="BI21" i="11"/>
  <c r="L10" i="2"/>
  <c r="X21" i="20"/>
  <c r="L16" i="2"/>
  <c r="L18" i="2"/>
  <c r="X16" i="16"/>
  <c r="X23" i="16" s="1"/>
  <c r="L9" i="2"/>
  <c r="V25" i="16"/>
  <c r="V25" i="11"/>
  <c r="BF10" i="11"/>
  <c r="V11" i="11"/>
  <c r="BM12" i="11"/>
  <c r="V9" i="11"/>
  <c r="BJ16" i="11"/>
  <c r="AP16" i="20"/>
  <c r="V20" i="11"/>
  <c r="BG19" i="11"/>
  <c r="BL29" i="11"/>
  <c r="BW20" i="20"/>
  <c r="BV18" i="16"/>
  <c r="BV12" i="16"/>
  <c r="BV16" i="16"/>
  <c r="U10" i="17"/>
  <c r="BU18" i="17"/>
  <c r="BU12" i="17"/>
  <c r="BU33" i="17" s="1"/>
  <c r="S25" i="17"/>
  <c r="AZ11" i="11"/>
  <c r="BF12" i="11"/>
  <c r="BH25" i="16"/>
  <c r="BK20" i="11"/>
  <c r="BJ10" i="11"/>
  <c r="Q16" i="17"/>
  <c r="BF16" i="11"/>
  <c r="BF23" i="11" s="1"/>
  <c r="BL22" i="11"/>
  <c r="BI22" i="11"/>
  <c r="BK10" i="11"/>
  <c r="L28" i="2"/>
  <c r="L17" i="2"/>
  <c r="AA11"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BL23" i="11"/>
  <c r="P16" i="11"/>
  <c r="AA31" i="11"/>
  <c r="S31" i="16"/>
  <c r="BJ23" i="11"/>
  <c r="R14" i="21"/>
  <c r="R31" i="2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<sst xmlns="http://schemas.openxmlformats.org/spreadsheetml/2006/main" count="2682" uniqueCount="1193">
  <si>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</si>
  <si>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</si>
  <si>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</si>
  <si>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</si>
  <si>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</si>
  <si>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</si>
  <si>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</si>
  <si>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</si>
  <si>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</si>
  <si>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</si>
  <si>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</si>
  <si>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</si>
  <si>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</si>
  <si>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</si>
  <si>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</si>
  <si>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</si>
  <si>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</si>
  <si>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</si>
  <si>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</si>
  <si>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</si>
  <si>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</si>
  <si>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</si>
  <si>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</si>
  <si>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</si>
  <si>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</si>
  <si>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</si>
  <si>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</si>
  <si>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</si>
  <si>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</si>
  <si>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</si>
  <si>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</si>
  <si>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</si>
  <si>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</si>
  <si>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</si>
  <si>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</si>
  <si>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</si>
  <si>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</si>
  <si>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</si>
  <si>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</si>
  <si>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</si>
  <si>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</si>
  <si>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</si>
  <si>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</si>
  <si>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</si>
  <si>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</si>
  <si>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</si>
  <si>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</si>
  <si>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</si>
  <si>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</si>
  <si>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</si>
  <si>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</si>
  <si>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</si>
  <si>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</si>
  <si>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</si>
  <si>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</si>
  <si>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</si>
  <si>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</si>
  <si>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</si>
  <si>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</si>
  <si>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</si>
  <si>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</si>
  <si>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</si>
  <si>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</si>
  <si>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</si>
  <si>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</si>
  <si>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</si>
  <si>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</si>
  <si>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</si>
  <si>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</si>
  <si>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</si>
  <si>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</si>
  <si>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</si>
  <si>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</si>
  <si>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</si>
  <si>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</si>
  <si>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</si>
  <si>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</si>
  <si>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</si>
  <si>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</si>
  <si>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</si>
  <si>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</si>
  <si>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</si>
  <si>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</si>
  <si>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</si>
  <si>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</si>
  <si>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</si>
  <si>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</si>
  <si>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</si>
  <si>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</si>
  <si>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</si>
  <si>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</si>
  <si>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</si>
  <si>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</si>
  <si>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</si>
  <si>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</si>
  <si>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</si>
  <si>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</si>
  <si>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</si>
  <si>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</si>
  <si>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</si>
  <si>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</si>
  <si>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</si>
  <si>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</si>
  <si>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</si>
  <si>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</si>
  <si>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</si>
  <si>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</si>
  <si>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</si>
  <si>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</si>
  <si>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</si>
  <si>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</si>
  <si>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</si>
  <si>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</si>
  <si>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</si>
  <si>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</si>
  <si>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</si>
  <si>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</si>
  <si>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</si>
  <si>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</si>
  <si>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</si>
  <si>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</si>
  <si>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</si>
  <si>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</si>
  <si>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</si>
  <si>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</si>
  <si>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</si>
  <si>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</si>
  <si>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</si>
  <si>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</si>
  <si>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</si>
  <si>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</si>
  <si>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</si>
  <si>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</si>
  <si>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</si>
  <si>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</si>
  <si>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</si>
  <si>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</si>
  <si>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</si>
  <si>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</si>
  <si>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</si>
  <si>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</si>
  <si>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</si>
  <si>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</si>
  <si>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</si>
  <si>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</si>
  <si>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</si>
  <si>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</si>
  <si>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</si>
  <si>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</si>
  <si>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</si>
  <si>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</si>
  <si>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</si>
  <si>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</si>
  <si>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</si>
  <si>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</si>
  <si>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</si>
  <si>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</si>
  <si>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</si>
  <si>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</si>
  <si>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</si>
  <si>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</si>
  <si>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</si>
  <si>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</si>
  <si>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</si>
  <si>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</si>
  <si>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</si>
  <si>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</si>
  <si>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</si>
  <si>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</si>
  <si>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</si>
  <si>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</si>
  <si>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</si>
  <si>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</si>
  <si>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</si>
  <si>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</si>
  <si>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</si>
  <si>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</si>
  <si>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</si>
  <si>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</si>
  <si>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</si>
  <si>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</si>
  <si>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</si>
  <si>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</si>
  <si>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</si>
  <si>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</si>
  <si>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</si>
  <si>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</si>
  <si>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</si>
  <si>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</si>
  <si>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</si>
  <si>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</si>
  <si>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</si>
  <si>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</si>
  <si>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</si>
  <si>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</si>
  <si>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</si>
  <si>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</si>
  <si>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</si>
  <si>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</si>
  <si>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</si>
  <si>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</si>
  <si>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</si>
  <si>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</si>
  <si>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</si>
  <si>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</si>
  <si>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</si>
  <si>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</si>
  <si>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</si>
  <si>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</si>
  <si>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</si>
  <si>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</si>
  <si>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</si>
  <si>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</si>
  <si>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</si>
  <si>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</si>
  <si>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</si>
  <si>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</si>
  <si>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</si>
  <si>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</si>
  <si>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</si>
  <si>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</si>
  <si>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</si>
  <si>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</si>
  <si>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</si>
  <si>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</si>
  <si>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</si>
  <si>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</si>
  <si>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</si>
  <si>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</si>
  <si>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</si>
  <si>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</si>
  <si>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</si>
  <si>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</si>
  <si>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</si>
  <si>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</si>
  <si>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</si>
  <si>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</si>
  <si>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</si>
  <si>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</si>
  <si>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</si>
  <si>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</si>
  <si>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</si>
  <si>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</si>
  <si>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</si>
  <si>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</si>
  <si>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</si>
  <si>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</si>
  <si>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</si>
  <si>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</si>
  <si>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</si>
  <si>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</si>
  <si>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</si>
  <si>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</si>
  <si>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</si>
  <si>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</si>
  <si>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</si>
  <si>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</si>
  <si>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</si>
  <si>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</si>
  <si>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</si>
  <si>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</si>
  <si>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</si>
  <si>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</si>
  <si>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</si>
  <si>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</si>
  <si>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</si>
  <si>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</si>
  <si>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</si>
  <si>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</si>
  <si>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</si>
  <si>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</si>
  <si>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</si>
  <si>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</si>
  <si>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</si>
  <si>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</si>
  <si>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</si>
  <si>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</si>
  <si>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</si>
  <si>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</si>
  <si>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</si>
  <si>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</si>
  <si>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</si>
  <si>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</si>
  <si>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</si>
  <si>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</si>
  <si>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</si>
  <si>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</si>
  <si>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</si>
  <si>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</si>
  <si>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</si>
  <si>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</si>
  <si>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</si>
  <si>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</si>
  <si>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</si>
  <si>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</si>
  <si>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</si>
  <si>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</si>
  <si>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</si>
  <si>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</si>
  <si>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</si>
  <si>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</si>
  <si>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</si>
  <si>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</si>
  <si>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</si>
  <si>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</si>
  <si>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</si>
  <si>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</si>
  <si>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</si>
  <si>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</si>
  <si>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</si>
  <si>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</si>
  <si>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</si>
  <si>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</si>
  <si>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</si>
  <si>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</si>
  <si>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</si>
  <si>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</si>
  <si>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</si>
  <si>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</si>
  <si>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</si>
  <si>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</si>
  <si>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</si>
  <si>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</si>
  <si>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</si>
  <si>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</si>
  <si>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</si>
  <si>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</si>
  <si>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</si>
  <si>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</si>
  <si>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</si>
  <si>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</si>
  <si>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</si>
  <si>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</si>
  <si>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</si>
  <si>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</si>
  <si>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</si>
  <si>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</si>
  <si>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</si>
  <si>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</si>
  <si>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</si>
  <si>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</si>
  <si>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</si>
  <si>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</si>
  <si>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</si>
  <si>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</si>
  <si>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</si>
  <si>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</si>
  <si>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</si>
  <si>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</si>
  <si>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</si>
  <si>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</si>
  <si>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</si>
  <si>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</si>
  <si>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</si>
  <si>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</si>
  <si>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</si>
  <si>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</si>
  <si>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</si>
  <si>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</si>
  <si>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</si>
  <si>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</si>
  <si>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</si>
  <si>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</si>
  <si>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</si>
  <si>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</si>
  <si>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</si>
  <si>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</si>
  <si>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</si>
  <si>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</si>
  <si>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</si>
  <si>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</si>
  <si>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</si>
  <si>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</si>
  <si>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</si>
  <si>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</si>
  <si>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</si>
  <si>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</si>
  <si>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</si>
  <si>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</si>
  <si>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</si>
  <si>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</si>
  <si>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</si>
  <si>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</si>
  <si>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</si>
  <si>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</si>
  <si>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</si>
  <si>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</si>
  <si>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</si>
  <si>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</si>
  <si>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</si>
  <si>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</si>
  <si>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</si>
  <si>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</si>
  <si>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</si>
  <si>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</si>
  <si>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</si>
  <si>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</si>
  <si>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</si>
  <si>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</si>
  <si>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</si>
  <si>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</si>
  <si>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</si>
  <si>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</si>
  <si>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</si>
  <si>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</si>
  <si>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</si>
  <si>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</si>
  <si>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</si>
  <si>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</si>
  <si>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</si>
  <si>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</si>
  <si>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</si>
  <si>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</si>
  <si>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</si>
  <si>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</si>
  <si>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</si>
  <si>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</si>
  <si>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</si>
  <si>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</si>
  <si>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</si>
  <si>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</si>
  <si>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</si>
  <si>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</si>
  <si>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</si>
  <si>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</si>
  <si>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</si>
  <si>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</si>
  <si>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</si>
  <si>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</si>
  <si>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</si>
  <si>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</si>
  <si>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</si>
  <si>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</si>
  <si>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</si>
  <si>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</si>
  <si>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</si>
  <si>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</si>
  <si>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</si>
  <si>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</si>
  <si>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</si>
  <si>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</si>
  <si>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</si>
  <si>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</si>
  <si>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</si>
  <si>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</si>
  <si>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</si>
  <si>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</si>
  <si>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</si>
  <si>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</si>
  <si>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</si>
  <si>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</si>
  <si>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</si>
  <si>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</si>
  <si>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</si>
  <si>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</si>
  <si>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</si>
  <si>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</si>
  <si>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</si>
  <si>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</si>
  <si>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</si>
  <si>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</si>
  <si>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</si>
  <si>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</si>
  <si>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</si>
  <si>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</si>
  <si>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</si>
  <si>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</si>
  <si>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</si>
  <si>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</si>
  <si>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</si>
  <si>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</si>
  <si>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</si>
  <si>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</si>
  <si>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</si>
  <si>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</si>
  <si>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</si>
  <si>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</si>
  <si>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</si>
  <si>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</si>
  <si>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</si>
  <si>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</si>
  <si>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</si>
  <si>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</si>
  <si>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</si>
  <si>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</si>
  <si>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</si>
  <si>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</si>
  <si>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</si>
  <si>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</si>
  <si>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</si>
  <si>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</si>
  <si>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</si>
  <si>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</si>
  <si>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</si>
  <si>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</si>
  <si>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</si>
  <si>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</si>
  <si>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</si>
  <si>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</si>
  <si>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</si>
  <si>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</si>
  <si>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</si>
  <si>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</si>
  <si>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</si>
  <si>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</si>
  <si>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</si>
  <si>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</si>
  <si>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</si>
  <si>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</si>
  <si>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</si>
  <si>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</si>
  <si>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</si>
  <si>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</si>
  <si>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</si>
  <si>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</si>
  <si>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</si>
  <si>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</si>
  <si>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</si>
  <si>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</si>
  <si>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</si>
  <si>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</si>
  <si>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</si>
  <si>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</si>
  <si>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</si>
  <si>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</si>
  <si>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</si>
  <si>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</si>
  <si>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</si>
  <si>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</si>
  <si>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</si>
  <si>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</si>
  <si>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</si>
  <si>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</si>
  <si>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</si>
  <si>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</si>
  <si>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</si>
  <si>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</si>
  <si>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</si>
  <si>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</si>
  <si>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</si>
  <si>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</si>
  <si>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</si>
  <si>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</si>
  <si>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</si>
  <si>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</si>
  <si>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</si>
  <si>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</si>
  <si>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</si>
  <si>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</si>
  <si>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</si>
  <si>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</si>
  <si>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</si>
  <si>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</si>
  <si>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</si>
  <si>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</si>
  <si>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</si>
  <si>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</si>
  <si>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</si>
  <si>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</si>
  <si>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</si>
  <si>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</si>
  <si>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</si>
  <si>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</si>
  <si>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</si>
  <si>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</si>
  <si>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</si>
  <si>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</si>
  <si>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</si>
  <si>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</si>
  <si>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</si>
  <si>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</si>
  <si>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</si>
  <si>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</si>
  <si>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</si>
  <si>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</si>
  <si>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</si>
  <si>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</si>
  <si>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</si>
  <si>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</si>
  <si>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</si>
  <si>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</si>
  <si>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</si>
  <si>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</si>
  <si>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</si>
  <si>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</si>
  <si>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</si>
  <si>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</si>
  <si>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</si>
  <si>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</si>
  <si>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</si>
  <si>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</si>
  <si>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</si>
  <si>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</si>
  <si>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</si>
  <si>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</si>
  <si>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</si>
  <si>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</si>
  <si>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</si>
  <si>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</si>
  <si>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</si>
  <si>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</si>
  <si>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</si>
  <si>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</si>
  <si>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</si>
  <si>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</si>
  <si>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</si>
  <si>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</si>
  <si>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</si>
  <si>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</si>
  <si>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</si>
  <si>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</si>
  <si>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</si>
  <si>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</si>
  <si>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</si>
  <si>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</si>
  <si>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</si>
  <si>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</si>
  <si>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</si>
  <si>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</si>
  <si>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</si>
  <si>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</si>
  <si>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</si>
  <si>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</si>
  <si>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</si>
  <si>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</si>
  <si>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</si>
  <si>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</si>
  <si>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</si>
  <si>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</si>
  <si>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</si>
  <si>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</si>
  <si>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</si>
  <si>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</si>
  <si>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</si>
  <si>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</si>
  <si>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</si>
  <si>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</si>
  <si>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</si>
  <si>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</si>
  <si>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</si>
  <si>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</si>
  <si>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</si>
  <si>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</si>
  <si>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</si>
  <si>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</si>
  <si>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</si>
  <si>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</si>
  <si>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</si>
  <si>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</si>
  <si>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</si>
  <si>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</si>
  <si>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</si>
  <si>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</si>
  <si>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</si>
  <si>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</si>
  <si>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</si>
  <si>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</si>
  <si>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</si>
  <si>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</si>
  <si>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</si>
  <si>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</si>
  <si>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</si>
  <si>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</si>
  <si>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</si>
  <si>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</si>
  <si>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</si>
  <si>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</si>
  <si>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</si>
  <si>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</si>
  <si>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</si>
  <si>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</si>
  <si>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</si>
  <si>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</si>
  <si>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</si>
  <si>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</si>
  <si>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</si>
  <si>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</si>
  <si>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</si>
  <si>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</si>
  <si>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</si>
  <si>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</si>
  <si>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</si>
  <si>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</si>
  <si>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</si>
  <si>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</si>
  <si>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</si>
  <si>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</si>
  <si>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</si>
  <si>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</si>
  <si>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</si>
  <si>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</si>
  <si>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</si>
  <si>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</si>
  <si>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</si>
  <si>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</si>
  <si>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</si>
  <si>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</si>
  <si>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</si>
  <si>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</si>
  <si>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</si>
  <si>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</si>
  <si>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</si>
  <si>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</si>
  <si>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</si>
  <si>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</si>
  <si>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</si>
  <si>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</si>
  <si>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</si>
  <si>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</si>
  <si>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</si>
  <si>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</si>
  <si>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</si>
  <si>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</si>
  <si>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</si>
  <si>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</si>
  <si>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</si>
  <si>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</si>
  <si>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</si>
  <si>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</si>
  <si>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</si>
  <si>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</si>
  <si>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</si>
  <si>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</si>
  <si>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</si>
  <si>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</si>
  <si>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</si>
  <si>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</si>
  <si>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</si>
  <si>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</si>
  <si>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</si>
  <si>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</si>
  <si>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</si>
  <si>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</si>
  <si>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</si>
  <si>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</si>
  <si>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</si>
  <si>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</si>
  <si>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</si>
  <si>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</si>
  <si>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</si>
  <si>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</si>
  <si>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</si>
  <si>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</si>
  <si>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</si>
  <si>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</si>
  <si>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</si>
  <si>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</si>
  <si>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</si>
  <si>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</si>
  <si>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</si>
  <si>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</si>
  <si>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</si>
  <si>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</si>
  <si>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</si>
  <si>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</si>
  <si>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</si>
  <si>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</si>
  <si>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</si>
  <si>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</si>
  <si>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</si>
  <si>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</si>
  <si>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</si>
  <si>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</si>
  <si>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</si>
  <si>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</si>
  <si>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</si>
  <si>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</si>
  <si>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</si>
  <si>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</si>
  <si>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</si>
  <si>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</si>
  <si>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</si>
  <si>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</si>
  <si>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</si>
  <si>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</si>
  <si>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</si>
  <si>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</si>
  <si>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</si>
  <si>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</si>
  <si>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</si>
  <si>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</si>
  <si>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</si>
  <si>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</si>
  <si>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</si>
  <si>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</si>
  <si>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</si>
  <si>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</si>
  <si>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</si>
  <si>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</si>
  <si>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</si>
  <si>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</si>
  <si>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</si>
  <si>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</si>
  <si>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</si>
  <si>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</si>
  <si>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</si>
  <si>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</si>
  <si>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</si>
  <si>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</si>
  <si>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</si>
  <si>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</si>
  <si>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</si>
  <si>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</si>
  <si>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</si>
  <si>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</si>
  <si>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</si>
  <si>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</si>
  <si>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</si>
  <si>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</si>
  <si>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</si>
  <si>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</si>
  <si>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</si>
  <si>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</si>
  <si>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</si>
  <si>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</si>
  <si>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</si>
  <si>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</si>
  <si>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</si>
  <si>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</si>
  <si>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</si>
  <si>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</si>
  <si>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</si>
  <si>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</si>
  <si>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</si>
  <si>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</si>
  <si>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</si>
  <si>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</si>
  <si>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</si>
  <si>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</si>
  <si>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</si>
  <si>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</si>
  <si>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</si>
  <si>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</si>
  <si>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</si>
  <si>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</si>
  <si>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</si>
  <si>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</si>
  <si>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</si>
  <si>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</si>
  <si>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</si>
  <si>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</si>
  <si>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</si>
  <si>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</si>
  <si>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</si>
  <si>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</si>
  <si>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</si>
  <si>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</si>
  <si>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</si>
  <si>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</si>
  <si>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</si>
  <si>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</si>
  <si>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</si>
  <si>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</si>
  <si>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</si>
  <si>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</si>
  <si>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</si>
  <si>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</si>
  <si>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</si>
  <si>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</si>
  <si>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</si>
  <si>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</si>
  <si>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</si>
  <si>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</si>
  <si>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</si>
  <si>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</si>
  <si>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</si>
  <si>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</si>
  <si>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</si>
  <si>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</si>
  <si>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</si>
  <si>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</si>
  <si>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</si>
  <si>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</si>
  <si>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</si>
  <si>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</si>
  <si>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</si>
  <si>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</si>
  <si>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</si>
  <si>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</si>
  <si>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</si>
  <si>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</si>
  <si>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</si>
  <si>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</si>
  <si>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</si>
  <si>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</si>
  <si>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</si>
  <si>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</si>
  <si>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</si>
  <si>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</si>
  <si>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</si>
  <si>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</si>
  <si>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</si>
  <si>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</si>
  <si>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</si>
  <si>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</si>
  <si>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</si>
  <si>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</si>
  <si>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</si>
  <si>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</si>
  <si>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</si>
  <si>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</si>
  <si>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</si>
  <si>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</si>
  <si>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</si>
  <si>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</si>
  <si>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</si>
  <si>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</si>
  <si>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</si>
  <si>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</si>
  <si>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</si>
  <si>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</si>
  <si>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</si>
  <si>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</si>
  <si>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</si>
  <si>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</si>
  <si>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</si>
  <si>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</si>
  <si>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</si>
  <si>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</si>
  <si>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</si>
  <si>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</si>
  <si>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</si>
  <si>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</si>
  <si>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</si>
  <si>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</si>
  <si>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</si>
  <si>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</si>
  <si>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</si>
  <si>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</si>
  <si>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</si>
  <si>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</si>
  <si>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</si>
  <si>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</si>
  <si>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</si>
  <si>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</si>
  <si>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</si>
  <si>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</si>
  <si>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</si>
  <si>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</si>
  <si>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</si>
  <si>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</si>
  <si>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</si>
  <si>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</si>
  <si>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</si>
  <si>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</si>
  <si>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</si>
  <si>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</si>
  <si>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</si>
  <si>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</si>
  <si>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</si>
  <si>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</si>
  <si>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</si>
  <si>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</si>
  <si>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</si>
  <si>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</si>
  <si>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</si>
  <si>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</si>
  <si>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</si>
  <si>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</si>
  <si>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</si>
  <si>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</si>
  <si>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</si>
  <si>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</si>
  <si>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</si>
  <si>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</si>
  <si>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</si>
  <si>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</si>
  <si>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</si>
  <si>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</si>
  <si>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</si>
  <si>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</si>
  <si>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</si>
  <si>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</si>
  <si>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</si>
  <si>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</si>
  <si>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</si>
  <si>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</si>
  <si>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</si>
  <si>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</si>
  <si>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</si>
  <si>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</si>
  <si>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</si>
  <si>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</si>
  <si>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</si>
  <si>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</si>
  <si>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</si>
  <si>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</si>
  <si>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</si>
  <si>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</si>
  <si>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</si>
  <si>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</si>
  <si>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</si>
  <si>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</si>
  <si>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</si>
  <si>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</si>
  <si>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</si>
  <si>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</si>
  <si>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</si>
  <si>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</si>
  <si>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</si>
  <si>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</si>
  <si>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</si>
  <si>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</si>
  <si>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</si>
  <si>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</si>
  <si>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</si>
  <si>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</si>
  <si>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</si>
  <si>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</si>
  <si>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</si>
  <si>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</si>
  <si>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</si>
  <si>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</si>
  <si>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</si>
  <si>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</si>
  <si>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</si>
  <si>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</si>
  <si>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</si>
  <si>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</si>
  <si>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</si>
  <si>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</si>
  <si>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</si>
  <si>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</si>
  <si>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</si>
  <si>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</si>
  <si>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</si>
  <si>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</si>
  <si>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</si>
  <si>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</si>
  <si>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</si>
  <si>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</si>
  <si>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</si>
  <si>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</si>
  <si>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</si>
  <si>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</si>
  <si>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</si>
  <si>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</si>
  <si>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</si>
  <si>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</si>
  <si>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</si>
  <si>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</si>
  <si>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</si>
  <si>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</si>
  <si>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</si>
  <si>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</si>
  <si>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</si>
  <si>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</si>
  <si>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</si>
  <si>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</si>
  <si>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</si>
  <si>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</si>
  <si>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</si>
  <si>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</si>
  <si>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</si>
  <si>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</si>
  <si>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</si>
  <si>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</si>
  <si>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</si>
  <si>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</si>
  <si>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</si>
  <si>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</si>
  <si>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</si>
  <si>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</si>
  <si>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</si>
  <si>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</si>
  <si>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</si>
  <si>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</si>
  <si>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</si>
  <si>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</si>
  <si>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</si>
  <si>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</si>
  <si>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</si>
  <si>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</si>
  <si>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</si>
  <si>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</si>
  <si>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</si>
  <si>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</si>
  <si>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</si>
  <si>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</si>
  <si>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</si>
  <si>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</si>
  <si>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</si>
  <si>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</si>
  <si>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</si>
  <si>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</si>
  <si>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</si>
  <si>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</si>
  <si>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</si>
  <si>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</si>
  <si>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</si>
  <si>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</si>
  <si>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</si>
  <si>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</si>
  <si>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</si>
  <si>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</si>
  <si>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</si>
  <si>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</si>
  <si>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</si>
  <si>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</si>
  <si>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</si>
  <si>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</si>
  <si>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</si>
  <si>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</si>
  <si>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</si>
  <si>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</si>
  <si>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</si>
  <si>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</si>
  <si>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</si>
  <si>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</si>
  <si>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</si>
  <si>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</si>
  <si>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</si>
  <si>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</si>
  <si>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</si>
  <si>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</si>
  <si>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</si>
  <si>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</si>
  <si>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</si>
  <si>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</si>
  <si>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</si>
  <si>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</si>
  <si>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</si>
  <si>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</si>
  <si>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</si>
  <si>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</si>
  <si>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</si>
  <si>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</si>
  <si>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</si>
  <si>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</si>
  <si>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</si>
  <si>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</si>
  <si>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</si>
  <si>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</si>
  <si>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</si>
  <si>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</si>
  <si>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</si>
  <si>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</si>
  <si>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</si>
  <si>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</si>
  <si>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</si>
  <si>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</si>
  <si>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</si>
  <si>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</si>
  <si>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</si>
  <si>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</si>
  <si>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</si>
  <si>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</si>
  <si>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</si>
  <si>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</si>
  <si>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</si>
  <si>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</si>
  <si>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</si>
  <si>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</si>
  <si>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</si>
  <si>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</si>
  <si>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</si>
  <si>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</si>
  <si>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</si>
  <si>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</si>
  <si>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</si>
  <si>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</si>
  <si>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</si>
  <si>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</si>
  <si>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</si>
  <si>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</si>
  <si>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</si>
  <si>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</si>
  <si>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</si>
  <si>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</si>
  <si>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</si>
  <si>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</si>
  <si>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</si>
  <si>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</si>
  <si>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</si>
  <si>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</si>
  <si>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</si>
  <si>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</si>
  <si>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</si>
  <si>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</si>
  <si>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</si>
  <si>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</si>
  <si>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</si>
  <si>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</si>
  <si>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</si>
  <si>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</si>
  <si>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</si>
  <si>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</si>
  <si>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</si>
  <si>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</si>
  <si>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</si>
  <si>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</si>
  <si>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</si>
  <si>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CALDAS DE REIS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</si>
</sst>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gv9vnSSfcBOERcdj9UdZcZRPqjod1uOZfgesSMi3KuGEFKeCHVnTjVj+YGQZueyhBEb/nvictebVwc8rn4A2g==" saltValue="uO7rG/YMXUJNYjSqIXRK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16</v>
      </c>
      <c r="E10" s="240">
        <f>IF(ISNUMBER(Datos!J10),Datos!J10," - ")</f>
        <v>1</v>
      </c>
      <c r="F10" s="240">
        <f>IF(ISNUMBER(Datos!K10),Datos!K10," - ")</f>
        <v>0</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7.6923076923076927E-2</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24.53846153846154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16</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315</v>
      </c>
      <c r="D17" s="239">
        <f>IF(ISNUMBER(IF(D_I="SI",Datos!I17,Datos!I17+Datos!AC17)),IF(D_I="SI",Datos!I17,Datos!I17+Datos!AC17)," - ")</f>
        <v>351</v>
      </c>
      <c r="E17" s="240">
        <f>IF(ISNUMBER(IF(D_I="SI",Datos!J17,Datos!J17+Datos!AD17)),IF(D_I="SI",Datos!J17,Datos!J17+Datos!AD17)," - ")</f>
        <v>237</v>
      </c>
      <c r="F17" s="240">
        <f>IF(ISNUMBER(IF(D_I="SI",Datos!K17,Datos!K17+Datos!AE17)),IF(D_I="SI",Datos!K17,Datos!K17+Datos!AE17)," - ")</f>
        <v>241</v>
      </c>
      <c r="G17" s="1390" t="str">
        <f>IF(Datos!E17&lt;&gt;"",Datos!E17,Datos!D17)</f>
        <v>04</v>
      </c>
      <c r="H17" s="241">
        <f>IF(ISNUMBER(IF(D_I="SI",Datos!L17,Datos!L17+Datos!AF17)),IF(D_I="SI",Datos!L17,Datos!L17+Datos!AF17)," - ")</f>
        <v>311</v>
      </c>
      <c r="I17" s="1400" t="str">
        <f>IF(ISNUMBER(Datos!AS17/Datos!BM17),Datos!AS17/Datos!BM17," - ")</f>
        <v xml:space="preserve"> - </v>
      </c>
      <c r="J17" s="1401">
        <f>IF(ISNUMBER(Datos!BY17/Datos!CN17),Datos!BY17/Datos!CN17," - ")</f>
        <v>0</v>
      </c>
      <c r="K17" s="244">
        <f t="shared" si="3"/>
        <v>-1.2698412698412698E-2</v>
      </c>
      <c r="L17" s="1402">
        <f>IF(ISNUMBER(NºAsuntos!I17/NºAsuntos!G17),(NºAsuntos!I17/NºAsuntos!G17)*11," - ")</f>
        <v>14.195020746887968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32</v>
      </c>
      <c r="D18" s="239">
        <f>IF(ISNUMBER(IF(D_I="SI",Datos!I18,Datos!I18+Datos!AC18)),IF(D_I="SI",Datos!I18,Datos!I18+Datos!AC18)," - ")</f>
        <v>35</v>
      </c>
      <c r="E18" s="240">
        <f>IF(ISNUMBER(IF(D_I="SI",Datos!J18,Datos!J18+Datos!AD18)),IF(D_I="SI",Datos!J18,Datos!J18+Datos!AD18)," - ")</f>
        <v>9</v>
      </c>
      <c r="F18" s="240">
        <f>IF(ISNUMBER(IF(D_I="SI",Datos!K18,Datos!K18+Datos!AE18)),IF(D_I="SI",Datos!K18,Datos!K18+Datos!AE18)," - ")</f>
        <v>9</v>
      </c>
      <c r="G18" s="1390" t="str">
        <f>IF(Datos!E18&lt;&gt;"",Datos!E18,Datos!D18)</f>
        <v>37</v>
      </c>
      <c r="H18" s="241">
        <f>IF(ISNUMBER(IF(D_I="SI",Datos!L18,Datos!L18+Datos!AF18)),IF(D_I="SI",Datos!L18,Datos!L18+Datos!AF18)," - ")</f>
        <v>32</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39.111111111111107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347</v>
      </c>
      <c r="D23" s="1407">
        <f>SUBTOTAL(9,D16:D22)</f>
        <v>386</v>
      </c>
      <c r="E23" s="1408">
        <f>SUBTOTAL(9,E16:E22)</f>
        <v>246</v>
      </c>
      <c r="F23" s="1408">
        <f>SUBTOTAL(9,F16:F22)</f>
        <v>250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360</v>
      </c>
      <c r="D31" s="1435">
        <f>SUBTOTAL(9,D9:D30)</f>
        <v>402</v>
      </c>
      <c r="E31" s="1436">
        <f>SUBTOTAL(9,E9:E30)</f>
        <v>247</v>
      </c>
      <c r="F31" s="1436">
        <f>SUBTOTAL(9,F9:F30)</f>
        <v>250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QP7OG50xxVAc5IQ1Dx+1MvccM1wghDvCwMJXXyjXivUdBGZ6AF+vEH+wu/XcK3v1Zt0wzpQMki5nfgGoNgpWA==" saltValue="LXvPpMK8rZoBBXPLT2O5o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8cNeh45RWcqcd5NMVMzXnZmV0w/z3e2SA9ySqS3RGjNvojmi2eSCdabj2ytEQ6iYN8FeHOj7hFA+XSIUodZPA==" saltValue="dk6amZ7ZxbIRqXicMxmM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v>
      </c>
      <c r="J10" s="194">
        <v>1</v>
      </c>
      <c r="K10" s="194">
        <v>0</v>
      </c>
      <c r="L10" s="194">
        <v>14</v>
      </c>
      <c r="M10" s="194">
        <v>0</v>
      </c>
      <c r="N10" s="194">
        <v>0</v>
      </c>
      <c r="O10" s="194">
        <v>0</v>
      </c>
      <c r="P10" s="194">
        <v>0</v>
      </c>
      <c r="Q10" s="194">
        <v>0</v>
      </c>
      <c r="R10" s="194">
        <v>0</v>
      </c>
      <c r="S10" s="194">
        <v>6</v>
      </c>
      <c r="T10" s="194">
        <v>2</v>
      </c>
      <c r="U10" s="194">
        <v>2</v>
      </c>
      <c r="V10" s="194">
        <v>6</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2</v>
      </c>
      <c r="BA10" s="139">
        <f t="shared" si="0"/>
        <v>2</v>
      </c>
      <c r="BB10" s="139">
        <f t="shared" si="0"/>
        <v>6</v>
      </c>
      <c r="BC10" s="135">
        <f t="shared" si="0"/>
        <v>0</v>
      </c>
      <c r="BD10" s="136">
        <f>IF(ISNUMBER(BA10/AZ10),BA10/AZ10," - ")</f>
        <v>1</v>
      </c>
      <c r="BE10" s="137">
        <f>IF(ISNUMBER(BB10/BA10),BB10/BA10, " - ")</f>
        <v>3</v>
      </c>
      <c r="BF10" s="137">
        <f>IF(ISNUMBER(BC10/BA10),BC10/BA10, " - ")</f>
        <v>0</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656</v>
      </c>
      <c r="J12" s="196">
        <v>322</v>
      </c>
      <c r="K12" s="196">
        <v>288</v>
      </c>
      <c r="L12" s="196">
        <v>662</v>
      </c>
      <c r="M12" s="196">
        <v>77</v>
      </c>
      <c r="N12" s="196">
        <v>93</v>
      </c>
      <c r="O12" s="194">
        <v>107</v>
      </c>
      <c r="P12" s="196">
        <v>84</v>
      </c>
      <c r="Q12" s="196">
        <v>56</v>
      </c>
      <c r="R12" s="196">
        <v>1254</v>
      </c>
      <c r="S12" s="196">
        <v>582</v>
      </c>
      <c r="T12" s="196">
        <v>267</v>
      </c>
      <c r="U12" s="196">
        <v>281</v>
      </c>
      <c r="V12" s="196">
        <v>568</v>
      </c>
      <c r="W12" s="196">
        <v>72</v>
      </c>
      <c r="X12" s="202">
        <v>112</v>
      </c>
      <c r="Y12" s="204">
        <v>55</v>
      </c>
      <c r="Z12" s="194">
        <v>36</v>
      </c>
      <c r="AA12" s="194">
        <v>24</v>
      </c>
      <c r="AB12" s="194">
        <v>34</v>
      </c>
      <c r="AC12" s="196">
        <v>0</v>
      </c>
      <c r="AD12" s="196">
        <v>0</v>
      </c>
      <c r="AE12" s="196">
        <v>0</v>
      </c>
      <c r="AF12" s="202">
        <v>0</v>
      </c>
      <c r="AG12" s="215">
        <v>70</v>
      </c>
      <c r="AH12" s="196">
        <v>41</v>
      </c>
      <c r="AI12" s="196">
        <v>40</v>
      </c>
      <c r="AJ12" s="216">
        <v>71</v>
      </c>
      <c r="AK12" s="195">
        <v>0</v>
      </c>
      <c r="AL12" s="196">
        <v>0</v>
      </c>
      <c r="AM12" s="196">
        <v>0</v>
      </c>
      <c r="AN12" s="202">
        <v>0</v>
      </c>
      <c r="AO12" s="283">
        <v>2</v>
      </c>
      <c r="AP12" s="168">
        <v>2</v>
      </c>
      <c r="AQ12" s="168">
        <v>2</v>
      </c>
      <c r="AR12" s="167">
        <v>2</v>
      </c>
      <c r="AS12" s="381" t="s">
        <v>1075</v>
      </c>
      <c r="AT12" s="216"/>
      <c r="AU12" s="215"/>
      <c r="AV12" s="216"/>
      <c r="AW12" s="215"/>
      <c r="AX12" s="216"/>
      <c r="AY12" s="136">
        <f t="shared" si="1"/>
        <v>652</v>
      </c>
      <c r="AZ12" s="137">
        <f t="shared" si="1"/>
        <v>308</v>
      </c>
      <c r="BA12" s="137">
        <f t="shared" si="1"/>
        <v>321</v>
      </c>
      <c r="BB12" s="137">
        <f t="shared" si="1"/>
        <v>639</v>
      </c>
      <c r="BC12" s="135">
        <f>IF(ISNUMBER(X12),X12," - ")</f>
        <v>112</v>
      </c>
      <c r="BD12" s="136">
        <f t="shared" si="2"/>
        <v>1.0422077922077921</v>
      </c>
      <c r="BE12" s="137">
        <f t="shared" si="3"/>
        <v>1.9906542056074767</v>
      </c>
      <c r="BF12" s="137">
        <f t="shared" si="4"/>
        <v>0.34890965732087226</v>
      </c>
      <c r="BG12" s="209">
        <f t="shared" si="5"/>
        <v>2.9906542056074765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672</v>
      </c>
      <c r="J14" s="197">
        <f t="shared" si="7"/>
        <v>323</v>
      </c>
      <c r="K14" s="197">
        <f t="shared" si="7"/>
        <v>288</v>
      </c>
      <c r="L14" s="197">
        <f t="shared" si="7"/>
        <v>676</v>
      </c>
      <c r="M14" s="197">
        <f t="shared" si="7"/>
        <v>77</v>
      </c>
      <c r="N14" s="197">
        <f t="shared" si="7"/>
        <v>93</v>
      </c>
      <c r="O14" s="197">
        <f t="shared" si="7"/>
        <v>107</v>
      </c>
      <c r="P14" s="197">
        <f t="shared" si="7"/>
        <v>84</v>
      </c>
      <c r="Q14" s="197">
        <f t="shared" si="7"/>
        <v>56</v>
      </c>
      <c r="R14" s="197">
        <f t="shared" si="7"/>
        <v>1254</v>
      </c>
      <c r="S14" s="197">
        <f t="shared" si="7"/>
        <v>588</v>
      </c>
      <c r="T14" s="197">
        <f t="shared" si="7"/>
        <v>269</v>
      </c>
      <c r="U14" s="197">
        <f t="shared" si="7"/>
        <v>283</v>
      </c>
      <c r="V14" s="197">
        <f t="shared" si="7"/>
        <v>574</v>
      </c>
      <c r="W14" s="197">
        <f t="shared" si="7"/>
        <v>72</v>
      </c>
      <c r="X14" s="197">
        <f t="shared" si="7"/>
        <v>113</v>
      </c>
      <c r="Y14" s="197">
        <f t="shared" si="7"/>
        <v>55</v>
      </c>
      <c r="Z14" s="197">
        <f t="shared" si="7"/>
        <v>36</v>
      </c>
      <c r="AA14" s="197">
        <f t="shared" si="7"/>
        <v>24</v>
      </c>
      <c r="AB14" s="197">
        <f t="shared" si="7"/>
        <v>34</v>
      </c>
      <c r="AC14" s="197">
        <f t="shared" si="7"/>
        <v>0</v>
      </c>
      <c r="AD14" s="197">
        <f t="shared" si="7"/>
        <v>0</v>
      </c>
      <c r="AE14" s="197">
        <f t="shared" si="7"/>
        <v>0</v>
      </c>
      <c r="AF14" s="197">
        <f>SUBTOTAL(9,AF9:AF13)</f>
        <v>0</v>
      </c>
      <c r="AG14" s="197">
        <f t="shared" ref="AG14:AT14" si="8">SUBTOTAL(9,AG8:AG13)</f>
        <v>70</v>
      </c>
      <c r="AH14" s="197">
        <f t="shared" si="8"/>
        <v>41</v>
      </c>
      <c r="AI14" s="197">
        <f t="shared" si="8"/>
        <v>40</v>
      </c>
      <c r="AJ14" s="197">
        <f t="shared" si="8"/>
        <v>71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658</v>
      </c>
      <c r="AZ14" s="197">
        <f>SUBTOTAL(9,AZ8:AZ13)</f>
        <v>310</v>
      </c>
      <c r="BA14" s="197">
        <f>SUBTOTAL(9,BA8:BA13)</f>
        <v>323</v>
      </c>
      <c r="BB14" s="197">
        <f>SUBTOTAL(9,BB8:BB13)</f>
        <v>645</v>
      </c>
      <c r="BC14" s="197">
        <f>SUBTOTAL(9,BC8:BC13)</f>
        <v>112</v>
      </c>
      <c r="BD14" s="219">
        <f>IF(ISNUMBER(BA14/AZ14),BA14/AZ14," - ")</f>
        <v>1.0419354838709678</v>
      </c>
      <c r="BE14" s="220">
        <f>IF(ISNUMBER(BB14/BA14),BB14/BA14, " - ")</f>
        <v>1.9969040247678018</v>
      </c>
      <c r="BF14" s="220">
        <f>IF(ISNUMBER(BC14/BA14),BC14/BA14, " - ")</f>
        <v>0.34674922600619196</v>
      </c>
      <c r="BG14" s="221">
        <f>IF(ISNUMBER((AY14+AZ14)/BA14),(AY14+AZ14)/BA14," - ")</f>
        <v>2.9969040247678018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351</v>
      </c>
      <c r="J17" s="196">
        <v>237</v>
      </c>
      <c r="K17" s="196">
        <v>241</v>
      </c>
      <c r="L17" s="196">
        <v>311</v>
      </c>
      <c r="M17" s="196">
        <v>52</v>
      </c>
      <c r="N17" s="196">
        <v>105</v>
      </c>
      <c r="O17" s="194">
        <v>1</v>
      </c>
      <c r="P17" s="196">
        <v>9</v>
      </c>
      <c r="Q17" s="196">
        <v>2</v>
      </c>
      <c r="R17" s="196">
        <v>47</v>
      </c>
      <c r="S17" s="196">
        <v>322</v>
      </c>
      <c r="T17" s="196">
        <v>277</v>
      </c>
      <c r="U17" s="196">
        <v>320</v>
      </c>
      <c r="V17" s="196">
        <v>286</v>
      </c>
      <c r="W17" s="196">
        <v>71</v>
      </c>
      <c r="X17" s="202">
        <v>156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322</v>
      </c>
      <c r="AZ17" s="137">
        <f t="shared" si="10"/>
        <v>277</v>
      </c>
      <c r="BA17" s="137">
        <f t="shared" si="10"/>
        <v>320</v>
      </c>
      <c r="BB17" s="137">
        <f t="shared" si="10"/>
        <v>286</v>
      </c>
      <c r="BC17" s="135">
        <f>IF(ISNUMBER(W17),W17," - ")</f>
        <v>71</v>
      </c>
      <c r="BD17" s="136">
        <f t="shared" ref="BD17:BD22" si="12">IF(ISNUMBER(BA17/AZ17),BA17/AZ17," - ")</f>
        <v>1.1552346570397112</v>
      </c>
      <c r="BE17" s="137">
        <f t="shared" ref="BE17:BE22" si="13">IF(ISNUMBER(BB17/BA17),BB17/BA17, " - ")</f>
        <v>0.89375000000000004</v>
      </c>
      <c r="BF17" s="137">
        <f t="shared" ref="BF17:BF22" si="14">IF(ISNUMBER(BC17/BA17),BC17/BA17, " - ")</f>
        <v>0.22187499999999999</v>
      </c>
      <c r="BG17" s="209">
        <f t="shared" si="11"/>
        <v>1.871875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35</v>
      </c>
      <c r="J18" s="196">
        <v>9</v>
      </c>
      <c r="K18" s="196">
        <v>9</v>
      </c>
      <c r="L18" s="196">
        <v>32</v>
      </c>
      <c r="M18" s="196">
        <v>0</v>
      </c>
      <c r="N18" s="196">
        <v>15</v>
      </c>
      <c r="O18" s="196">
        <v>0</v>
      </c>
      <c r="P18" s="196">
        <v>0</v>
      </c>
      <c r="Q18" s="196">
        <v>0</v>
      </c>
      <c r="R18" s="196">
        <v>1</v>
      </c>
      <c r="S18" s="196">
        <v>29</v>
      </c>
      <c r="T18" s="196">
        <v>23</v>
      </c>
      <c r="U18" s="196">
        <v>25</v>
      </c>
      <c r="V18" s="196">
        <v>27</v>
      </c>
      <c r="W18" s="196">
        <v>1</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29</v>
      </c>
      <c r="AZ18" s="139">
        <f t="shared" si="15"/>
        <v>23</v>
      </c>
      <c r="BA18" s="139">
        <f t="shared" si="15"/>
        <v>25</v>
      </c>
      <c r="BB18" s="139">
        <f t="shared" si="15"/>
        <v>27</v>
      </c>
      <c r="BC18" s="135">
        <f>IF(ISNUMBER(W18),W18," - ")</f>
        <v>1</v>
      </c>
      <c r="BD18" s="136">
        <f>IF(ISNUMBER(BA18/AZ18),BA18/AZ18," - ")</f>
        <v>1.0869565217391304</v>
      </c>
      <c r="BE18" s="137">
        <f>IF(ISNUMBER(BB18/BA18),BB18/BA18, " - ")</f>
        <v>1.08</v>
      </c>
      <c r="BF18" s="137">
        <f>IF(ISNUMBER(BC18/BA18),BC18/BA18, " - ")</f>
        <v>0.04</v>
      </c>
      <c r="BG18" s="209">
        <f>IF(ISNUMBER((AY18+AZ18)/BA18),(AY18+AZ18)/BA18," - ")</f>
        <v>2.08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386</v>
      </c>
      <c r="J23" s="197">
        <f t="shared" si="21"/>
        <v>246</v>
      </c>
      <c r="K23" s="197">
        <f t="shared" si="21"/>
        <v>250</v>
      </c>
      <c r="L23" s="197">
        <f t="shared" si="21"/>
        <v>343</v>
      </c>
      <c r="M23" s="197">
        <f t="shared" si="21"/>
        <v>52</v>
      </c>
      <c r="N23" s="197">
        <f t="shared" si="21"/>
        <v>120</v>
      </c>
      <c r="O23" s="197">
        <f t="shared" si="21"/>
        <v>1</v>
      </c>
      <c r="P23" s="197">
        <f t="shared" si="21"/>
        <v>9</v>
      </c>
      <c r="Q23" s="197">
        <f t="shared" si="21"/>
        <v>2</v>
      </c>
      <c r="R23" s="197">
        <f t="shared" si="21"/>
        <v>48</v>
      </c>
      <c r="S23" s="197">
        <f t="shared" si="21"/>
        <v>351</v>
      </c>
      <c r="T23" s="197">
        <f t="shared" si="21"/>
        <v>300</v>
      </c>
      <c r="U23" s="197">
        <f t="shared" si="21"/>
        <v>345</v>
      </c>
      <c r="V23" s="197">
        <f t="shared" si="21"/>
        <v>313</v>
      </c>
      <c r="W23" s="197">
        <f t="shared" si="21"/>
        <v>72</v>
      </c>
      <c r="X23" s="197">
        <f t="shared" si="21"/>
        <v>169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351</v>
      </c>
      <c r="AZ23" s="197">
        <f>SUBTOTAL(9,AZ15:AZ22)</f>
        <v>300</v>
      </c>
      <c r="BA23" s="197">
        <f>SUBTOTAL(9,BA15:BA22)</f>
        <v>345</v>
      </c>
      <c r="BB23" s="197">
        <f>SUBTOTAL(9,BB15:BB22)</f>
        <v>313</v>
      </c>
      <c r="BC23" s="197">
        <f>SUBTOTAL(9,BC15:BC22)</f>
        <v>72</v>
      </c>
      <c r="BD23" s="219">
        <f>IF(ISNUMBER(BA23/AZ23),BA23/AZ23," - ")</f>
        <v>1.1499999999999999</v>
      </c>
      <c r="BE23" s="220">
        <f>IF(ISNUMBER(BB23/BA23),BB23/BA23, " - ")</f>
        <v>0.90724637681159426</v>
      </c>
      <c r="BF23" s="220">
        <f>IF(ISNUMBER(BC23/BA23),BC23/BA23, " - ")</f>
        <v>0.20869565217391303</v>
      </c>
      <c r="BG23" s="221">
        <f>IF(ISNUMBER((AY23+AZ23)/BA23),(AY23+AZ23)/BA23," - ")</f>
        <v>1.8869565217391304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1058</v>
      </c>
      <c r="J31" s="144">
        <f t="shared" si="36"/>
        <v>569</v>
      </c>
      <c r="K31" s="144">
        <f t="shared" si="36"/>
        <v>538</v>
      </c>
      <c r="L31" s="144">
        <f t="shared" si="36"/>
        <v>1019</v>
      </c>
      <c r="M31" s="144">
        <f t="shared" si="36"/>
        <v>129</v>
      </c>
      <c r="N31" s="144">
        <f t="shared" si="36"/>
        <v>213</v>
      </c>
      <c r="O31" s="144">
        <f t="shared" si="36"/>
        <v>108</v>
      </c>
      <c r="P31" s="144">
        <f t="shared" si="36"/>
        <v>93</v>
      </c>
      <c r="Q31" s="144">
        <f t="shared" si="36"/>
        <v>58</v>
      </c>
      <c r="R31" s="144">
        <f t="shared" si="36"/>
        <v>1302</v>
      </c>
      <c r="S31" s="144">
        <f t="shared" si="36"/>
        <v>939</v>
      </c>
      <c r="T31" s="144">
        <f t="shared" si="36"/>
        <v>569</v>
      </c>
      <c r="U31" s="144">
        <f t="shared" si="36"/>
        <v>628</v>
      </c>
      <c r="V31" s="144">
        <f t="shared" si="36"/>
        <v>887</v>
      </c>
      <c r="W31" s="144">
        <f t="shared" si="36"/>
        <v>144</v>
      </c>
      <c r="X31" s="144">
        <f t="shared" si="36"/>
        <v>282</v>
      </c>
      <c r="Y31" s="144">
        <f t="shared" si="36"/>
        <v>55</v>
      </c>
      <c r="Z31" s="144">
        <f t="shared" si="36"/>
        <v>36</v>
      </c>
      <c r="AA31" s="144">
        <f t="shared" si="36"/>
        <v>24</v>
      </c>
      <c r="AB31" s="144">
        <f t="shared" si="36"/>
        <v>34</v>
      </c>
      <c r="AC31" s="144">
        <f t="shared" si="36"/>
        <v>0</v>
      </c>
      <c r="AD31" s="144">
        <f t="shared" si="36"/>
        <v>0</v>
      </c>
      <c r="AE31" s="144">
        <f t="shared" si="36"/>
        <v>0</v>
      </c>
      <c r="AF31" s="144">
        <f t="shared" si="36"/>
        <v>0</v>
      </c>
      <c r="AG31" s="144">
        <f t="shared" si="36"/>
        <v>70</v>
      </c>
      <c r="AH31" s="144">
        <f t="shared" si="36"/>
        <v>41</v>
      </c>
      <c r="AI31" s="144">
        <f t="shared" si="36"/>
        <v>40</v>
      </c>
      <c r="AJ31" s="144">
        <f t="shared" si="36"/>
        <v>71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1009</v>
      </c>
      <c r="AZ31" s="144">
        <f>SUBTOTAL(9,AZ9:AZ30)</f>
        <v>610</v>
      </c>
      <c r="BA31" s="144">
        <f>SUBTOTAL(9,BA9:BA30)</f>
        <v>668</v>
      </c>
      <c r="BB31" s="144">
        <f>SUBTOTAL(9,BB9:BB30)</f>
        <v>958</v>
      </c>
      <c r="BC31" s="145">
        <f>SUBTOTAL(9,BC9:BC30)</f>
        <v>184</v>
      </c>
      <c r="BD31" s="227">
        <f>IF(ISNUMBER(BA31/AZ31),BA31/AZ31," - ")</f>
        <v>1.0950819672131147</v>
      </c>
      <c r="BE31" s="224">
        <f>IF(ISNUMBER(BB31/BA31),BB31/BA31, " - ")</f>
        <v>1.4341317365269461</v>
      </c>
      <c r="BF31" s="224">
        <f>IF(ISNUMBER(BC31/BA31),BC31/BA31, " - ")</f>
        <v>0.27544910179640719</v>
      </c>
      <c r="BG31" s="145">
        <f>IF(ISNUMBER((AY31+AZ31)/BA31),(AY31+AZ31)/BA31," - ")</f>
        <v>2.4236526946107784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YIRuzVeE/SeAZ2CCBrhVv4EKO8wzz+QSXvZ8nnZARULptlJeYTF2dg19DEq5RBUWqDP/KDQIKpYxB1tm0WQAg==" saltValue="nUv79++CnjJ7J0wPvyb5h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WFl3hPZ04kI6IGpECwUM0FvXusEdplUUEVf5kT8TWZ5TKvSB0glpdK1pPCCvYFqX2A0JuZMgtf3dtx4se98og==" saltValue="VpilDW42kKsVfKVn2Aq3e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CALDAS DE REIS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16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36</v>
      </c>
      <c r="O12" s="549"/>
      <c r="P12" s="549"/>
      <c r="Q12" s="547">
        <f>IF(ISNUMBER(Datos!P12),Datos!P12,0)</f>
        <v>84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34</v>
      </c>
      <c r="AI12" s="549" t="str">
        <f>IF(ISNUMBER(Datos!CD12),Datos!CD12,"-")</f>
        <v>-</v>
      </c>
      <c r="AJ12" s="549" t="str">
        <f>IF(ISNUMBER(Datos!EN12),Datos!EN12," - ")</f>
        <v xml:space="preserve"> - </v>
      </c>
      <c r="AK12" s="549"/>
      <c r="AL12" s="550"/>
      <c r="AM12" s="766">
        <f>IF(ISNUMBER(Datos!R12),Datos!R12," - ")</f>
        <v>1254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77</v>
      </c>
      <c r="BD12" s="693">
        <f>IF(ISNUMBER(Datos!N12),Datos!N12," - ")</f>
        <v>93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0.87150837988826813</v>
      </c>
      <c r="BH12" s="764">
        <f>IF(ISNUMBER(((IF(J_V="SI",Datos!L12/Datos!K12,(Datos!L12+Datos!AB12)/(Datos!K12+Datos!AA12)))*11)/factor_trimestre),((IF(J_V="SI",Datos!L12/Datos!K12,(Datos!L12+Datos!AB12)/(Datos!K12+Datos!AA12)))*11)/factor_trimestre," - ")</f>
        <v>6.6923076923076934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2.2838499184339316E-2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13</v>
      </c>
      <c r="G14" s="1197">
        <f t="shared" si="1"/>
        <v>16</v>
      </c>
      <c r="H14" s="1198">
        <f t="shared" si="1"/>
        <v>0</v>
      </c>
      <c r="I14" s="1197">
        <f t="shared" si="1"/>
        <v>0</v>
      </c>
      <c r="J14" s="1164">
        <f t="shared" si="1"/>
        <v>0</v>
      </c>
      <c r="K14" s="1164">
        <f t="shared" si="1"/>
        <v>0</v>
      </c>
      <c r="L14" s="1198">
        <f t="shared" si="1"/>
        <v>0</v>
      </c>
      <c r="M14" s="1198">
        <f t="shared" si="1"/>
        <v>0</v>
      </c>
      <c r="N14" s="1198">
        <f t="shared" si="1"/>
        <v>36</v>
      </c>
      <c r="O14" s="1199">
        <f t="shared" si="1"/>
        <v>0</v>
      </c>
      <c r="P14" s="1199">
        <f t="shared" si="1"/>
        <v>0</v>
      </c>
      <c r="Q14" s="1198">
        <f t="shared" si="1"/>
        <v>84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56</v>
      </c>
      <c r="AD14" s="1198">
        <f t="shared" si="2"/>
        <v>0</v>
      </c>
      <c r="AE14" s="1198">
        <f t="shared" si="2"/>
        <v>0</v>
      </c>
      <c r="AF14" s="1198">
        <f t="shared" si="2"/>
        <v>14</v>
      </c>
      <c r="AG14" s="1198">
        <f t="shared" si="2"/>
        <v>0</v>
      </c>
      <c r="AH14" s="1198">
        <f t="shared" si="2"/>
        <v>34</v>
      </c>
      <c r="AI14" s="1198">
        <f t="shared" si="2"/>
        <v>0</v>
      </c>
      <c r="AJ14" s="1198">
        <f t="shared" si="2"/>
        <v>0</v>
      </c>
      <c r="AK14" s="1198">
        <f t="shared" si="2"/>
        <v>0</v>
      </c>
      <c r="AL14" s="1198">
        <f t="shared" si="2"/>
        <v>0</v>
      </c>
      <c r="AM14" s="1198">
        <f t="shared" si="2"/>
        <v>1254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77</v>
      </c>
      <c r="BD14" s="1198">
        <f t="shared" si="2"/>
        <v>93</v>
      </c>
      <c r="BE14" s="1198">
        <f t="shared" si="2"/>
        <v>0</v>
      </c>
      <c r="BF14" s="1198">
        <f t="shared" si="2"/>
        <v>0</v>
      </c>
      <c r="BG14" s="1198">
        <f>IF(ISNUMBER(Datos!K14/Datos!J14),Datos!K14/Datos!J14," - ")</f>
        <v>0.89164086687306499</v>
      </c>
      <c r="BH14" s="1202">
        <f>IF(ISNUMBER(((Datos!L14/Datos!K14)*11)/factor_trimestre),((Datos!L14/Datos!K14)*11)/factor_trimestre," - ")</f>
        <v>7.0416666666666679</v>
      </c>
      <c r="BI14" s="1198">
        <f>IF(ISNUMBER('Resol  Asuntos'!D14/NºAsuntos!G14),'Resol  Asuntos'!D14/NºAsuntos!G14," - ")</f>
        <v>0.24679487179487181</v>
      </c>
      <c r="BJ14" s="1198" t="str">
        <f>IF(ISNUMBER(Datos!CI14/Datos!CJ14),Datos!CI14/Datos!CJ14," - ")</f>
        <v xml:space="preserve"> - </v>
      </c>
      <c r="BK14" s="1198">
        <f>SUBTOTAL(9,BK8:BK13)</f>
        <v>0</v>
      </c>
      <c r="BL14" s="1198">
        <f>IF(ISNUMBER((I14-AB14+L14)/(F14)),(I14-AB14+L14)/(F14)," - ")</f>
        <v>0</v>
      </c>
      <c r="BM14" s="1203">
        <f>SUBTOTAL(9,BM9:BM13)</f>
        <v>2.2838499184339316E-2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315</v>
      </c>
      <c r="G17" s="743">
        <f>IF(ISNUMBER(IF(D_I="SI",Datos!I17,Datos!I17+Datos!AC17)),IF(D_I="SI",Datos!I17,Datos!I17+Datos!AC17)," - ")</f>
        <v>351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241</v>
      </c>
      <c r="AC17" s="240">
        <f>IF(ISNUMBER(Datos!Q17),Datos!Q17," - ")</f>
        <v>2</v>
      </c>
      <c r="AD17" s="374"/>
      <c r="AE17" s="562"/>
      <c r="AF17" s="741">
        <f>IF(ISNUMBER(IF(D_I="SI",Datos!L17,Datos!L17+Datos!AF17)),IF(D_I="SI",Datos!L17,Datos!L17+Datos!AF17)," - ")</f>
        <v>311</v>
      </c>
      <c r="AG17" s="374"/>
      <c r="AH17" s="374"/>
      <c r="AI17" s="374"/>
      <c r="AJ17" s="549"/>
      <c r="AK17" s="374"/>
      <c r="AL17" s="545"/>
      <c r="AM17" s="375">
        <f>IF(ISNUMBER(Datos!R17),Datos!R17," - ")</f>
        <v>47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52</v>
      </c>
      <c r="BD17" s="243">
        <f>IF(ISNUMBER(Datos!N17),Datos!N17," - ")</f>
        <v>105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1.0168776371308017</v>
      </c>
      <c r="BH17" s="764">
        <f>IF(ISNUMBER(((IF(D_I="SI",Datos!L17/Datos!K17,(Datos!L17+Datos!AF17)/(Datos!K17+Datos!AE17)))*11)/factor_trimestre),((IF(D_I="SI",Datos!L17/Datos!K17,(Datos!L17+Datos!AF17)/(Datos!K17+Datos!AE17)))*11)/factor_trimestre," - ")</f>
        <v>3.8713692946058096</v>
      </c>
      <c r="BI17" s="266">
        <f>IF(ISNUMBER('Resol  Asuntos'!D17/NºAsuntos!G17),'Resol  Asuntos'!D17/NºAsuntos!G17," - ")</f>
        <v>0.21576763485477179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v>
      </c>
      <c r="AC18" s="547">
        <f>IF(ISNUMBER(Datos!Q18),Datos!Q18," - ")</f>
        <v>0</v>
      </c>
      <c r="AD18" s="549"/>
      <c r="AE18" s="562"/>
      <c r="AF18" s="551">
        <f>IF(ISNUMBER(Datos!L18),Datos!L18,"-")</f>
        <v>32</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10.666666666666666</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315</v>
      </c>
      <c r="G23" s="1197">
        <f>SUBTOTAL(9,G16:G22)</f>
        <v>386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250</v>
      </c>
      <c r="AC23" s="1198">
        <f t="shared" si="5"/>
        <v>2</v>
      </c>
      <c r="AD23" s="1198">
        <f t="shared" si="5"/>
        <v>0</v>
      </c>
      <c r="AE23" s="1198">
        <f t="shared" si="5"/>
        <v>0</v>
      </c>
      <c r="AF23" s="1198">
        <f t="shared" si="5"/>
        <v>343</v>
      </c>
      <c r="AG23" s="1198">
        <f t="shared" si="5"/>
        <v>0</v>
      </c>
      <c r="AH23" s="1198">
        <f t="shared" si="5"/>
        <v>0</v>
      </c>
      <c r="AI23" s="1198">
        <f t="shared" si="5"/>
        <v>0</v>
      </c>
      <c r="AJ23" s="1198">
        <f t="shared" si="5"/>
        <v>0</v>
      </c>
      <c r="AK23" s="1198">
        <f t="shared" si="5"/>
        <v>0</v>
      </c>
      <c r="AL23" s="1198">
        <f t="shared" si="5"/>
        <v>0</v>
      </c>
      <c r="AM23" s="1198">
        <f t="shared" si="5"/>
        <v>48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52</v>
      </c>
      <c r="BD23" s="1198">
        <f t="shared" si="5"/>
        <v>120</v>
      </c>
      <c r="BE23" s="1198">
        <f t="shared" si="5"/>
        <v>0</v>
      </c>
      <c r="BF23" s="1198">
        <f t="shared" si="5"/>
        <v>0</v>
      </c>
      <c r="BG23" s="1198">
        <f>IF(ISNUMBER(Datos!K23/Datos!J23),Datos!K23/Datos!J23," - ")</f>
        <v>1.0162601626016261</v>
      </c>
      <c r="BH23" s="1202">
        <f>IF(ISNUMBER(((Datos!L23/Datos!K23)*11)/factor_trimestre),((Datos!L23/Datos!K23)*11)/factor_trimestre," - ")</f>
        <v>4.1160000000000005</v>
      </c>
      <c r="BI23" s="1198">
        <f>SUBTOTAL(9,BI16:BI22)</f>
        <v>0.21576763485477179</v>
      </c>
      <c r="BJ23" s="1198">
        <f>SUBTOTAL(9,BJ16:BJ22)</f>
        <v>0</v>
      </c>
      <c r="BK23" s="1198">
        <f>SUBTOTAL(9,BK16:BK22)</f>
        <v>0</v>
      </c>
      <c r="BL23" s="1198">
        <f>IF(ISNUMBER((I23-AB23+L23)/(F23)),(I23-AB23+L23)/(F23)," - ")</f>
        <v>-0.79365079365079361</v>
      </c>
      <c r="BM23" s="1205">
        <f>IF(ISNUMBER((Datos!P23-Datos!Q23)/(Datos!R23-Datos!P23+Datos!Q23)),(Datos!P23-Datos!Q23)/(Datos!R23-Datos!P23+Datos!Q23)," - ")</f>
        <v>0.17073170731707318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328</v>
      </c>
      <c r="G31" s="1117">
        <f t="shared" si="18"/>
        <v>402</v>
      </c>
      <c r="H31" s="1119">
        <f t="shared" si="18"/>
        <v>0</v>
      </c>
      <c r="I31" s="1117">
        <f t="shared" si="18"/>
        <v>0</v>
      </c>
      <c r="J31" s="1119">
        <f t="shared" si="18"/>
        <v>0</v>
      </c>
      <c r="K31" s="1119">
        <f t="shared" si="18"/>
        <v>0</v>
      </c>
      <c r="L31" s="1180">
        <f t="shared" si="18"/>
        <v>0</v>
      </c>
      <c r="M31" s="1180">
        <f t="shared" si="18"/>
        <v>0</v>
      </c>
      <c r="N31" s="1180">
        <f t="shared" si="18"/>
        <v>36</v>
      </c>
      <c r="O31" s="1180">
        <f t="shared" si="18"/>
        <v>0</v>
      </c>
      <c r="P31" s="1180">
        <f t="shared" si="18"/>
        <v>0</v>
      </c>
      <c r="Q31" s="1119">
        <f t="shared" si="18"/>
        <v>93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250</v>
      </c>
      <c r="AC31" s="1118">
        <f t="shared" si="19"/>
        <v>58</v>
      </c>
      <c r="AD31" s="1118">
        <f t="shared" si="19"/>
        <v>0</v>
      </c>
      <c r="AE31" s="1118">
        <f t="shared" si="19"/>
        <v>0</v>
      </c>
      <c r="AF31" s="1125">
        <f t="shared" si="19"/>
        <v>357</v>
      </c>
      <c r="AG31" s="1125">
        <f t="shared" si="19"/>
        <v>0</v>
      </c>
      <c r="AH31" s="1125">
        <f t="shared" si="19"/>
        <v>34</v>
      </c>
      <c r="AI31" s="1125">
        <f t="shared" si="19"/>
        <v>0</v>
      </c>
      <c r="AJ31" s="1118">
        <f t="shared" si="19"/>
        <v>0</v>
      </c>
      <c r="AK31" s="1125">
        <f t="shared" si="19"/>
        <v>0</v>
      </c>
      <c r="AL31" s="1125">
        <f t="shared" si="19"/>
        <v>0</v>
      </c>
      <c r="AM31" s="1125">
        <f t="shared" si="19"/>
        <v>1302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129</v>
      </c>
      <c r="BD31" s="1117">
        <f t="shared" si="19"/>
        <v>213</v>
      </c>
      <c r="BE31" s="1117">
        <f t="shared" si="19"/>
        <v>0</v>
      </c>
      <c r="BF31" s="1127">
        <f t="shared" si="19"/>
        <v>0</v>
      </c>
      <c r="BG31" s="1223">
        <f>IF(ISNUMBER(Datos!K31/Datos!J31),Datos!K31/Datos!J31," - ")</f>
        <v>0.94551845342706498</v>
      </c>
      <c r="BH31" s="1223">
        <f>IF(ISNUMBER(((Datos!L31/Datos!K31)*11)/factor_trimestre),((Datos!L31/Datos!K31)*11)/factor_trimestre," - ")</f>
        <v>5.6821561338289959</v>
      </c>
      <c r="BI31" s="1103">
        <f>IF(ISNUMBER(Datos!J31/Datos!I31),Datos!J31/Datos!I31," - ")</f>
        <v>0.53780718336483935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-0.76219512195121952</v>
      </c>
      <c r="BM31" s="1188">
        <f>IF(ISNUMBER((Datos!P31-Datos!Q31+R31)/(Datos!R31-Datos!P31+Datos!Q31-R31)),(Datos!P31-Datos!Q31+R31)/(Datos!R31-Datos!P31+Datos!Q31-R31)," - ")</f>
        <v>2.7624309392265192E-2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114.85714285714286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159.41476301355112</v>
      </c>
      <c r="G33" s="674">
        <f>IF(ISNUMBER(STDEV(G8:G30)),STDEV(G8:G30),"-")</f>
        <v>173.96784048728526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118.98719418892263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35.74812682405291</v>
      </c>
      <c r="BD33" s="673"/>
      <c r="BE33" s="673">
        <f>IF(ISNUMBER(STDEV(BE8:BE30)),STDEV(BE8:BE30),"-")</f>
        <v>0</v>
      </c>
      <c r="BF33" s="678">
        <f>IF(ISNUMBER(STDEV(BF8:BF30)),STDEV(BF8:BF30),"-")</f>
        <v>0</v>
      </c>
      <c r="BG33" s="1052">
        <f>IF(ISNUMBER(STDEV(BG8:BG30)),STDEV(BG8:BG30),"-")</f>
        <v>0.39681571708307878</v>
      </c>
      <c r="BH33" s="1058">
        <f>IF(ISNUMBER(STDEV(BH8:BH30)),STDEV(BH8:BH30),"-")</f>
        <v>2.7514606659498408</v>
      </c>
      <c r="BI33" s="273">
        <f>IF(ISNUMBER(STDEV(BI8:BI30)),STDEV(BI8:BI30),"-")</f>
        <v>0.11399723392483613</v>
      </c>
      <c r="BJ33" s="244" t="str">
        <f>IF(ISNUMBER(BL33/BM33),BL33/BM33," - ")</f>
        <v xml:space="preserve"> - </v>
      </c>
      <c r="BK33" s="709"/>
      <c r="BL33" s="681">
        <f>IF(ISNUMBER(STDEV(BL8:BL30)),STDEV(BL8:BL30),"-")</f>
        <v>0.56119585808456152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mpAxjZK4zYviShYLD024JckA4TnDZwdEoxoa/gJ/1gh48Ep7WQwl3n+z/+coRXxC8Bj1Ycd7lB/CXNI/2jzKSg==" saltValue="BCpNQKPQB/73hUQaQL8Y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CALDAS DE REIS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16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56</v>
      </c>
      <c r="AA12" s="551" t="str">
        <f>IF(ISNUMBER(IF(J_V="SI",Datos!L12,Datos!L12+Datos!AB12)-IF(Monitorios="SI",Datos!CD12,0)),
                          IF(J_V="SI",Datos!L12,Datos!L12+Datos!AB12)-IF(Monitorios="SI",Datos!CD12,0),
                          " - ")</f>
        <v xml:space="preserve"> - </v>
      </c>
      <c r="AB12" s="549"/>
      <c r="AC12" s="549"/>
      <c r="AD12" s="563"/>
      <c r="AE12" s="563">
        <f>IF(ISNUMBER(Datos!R12),Datos!R12," - ")</f>
        <v>1254</v>
      </c>
      <c r="AF12" s="693" t="str">
        <f>IF(ISNUMBER(Datos!BV12),Datos!BV12," - ")</f>
        <v xml:space="preserve"> - </v>
      </c>
      <c r="AG12" s="552" t="str">
        <f>IF(ISNUMBER(Datos!DV12),Datos!DV12," - ")</f>
        <v xml:space="preserve"> - </v>
      </c>
      <c r="AH12" s="553"/>
      <c r="AI12" s="554"/>
      <c r="AJ12" s="552">
        <f>IF(ISNUMBER(Datos!M12),Datos!M12," - ")</f>
        <v>77</v>
      </c>
      <c r="AK12" s="693">
        <f>IF(ISNUMBER(Datos!N12),Datos!N12," - ")</f>
        <v>93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6.6923076923076934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2.2838499184339316E-2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13</v>
      </c>
      <c r="G14" s="1197">
        <f>SUBTOTAL(9,G8:G13)</f>
        <v>16</v>
      </c>
      <c r="H14" s="1211"/>
      <c r="I14" s="1197">
        <f t="shared" ref="I14:N14" si="1">SUBTOTAL(9,I8:I13)</f>
        <v>0</v>
      </c>
      <c r="J14" s="1164">
        <f t="shared" si="1"/>
        <v>0</v>
      </c>
      <c r="K14" s="1211">
        <f t="shared" si="1"/>
        <v>0</v>
      </c>
      <c r="L14" s="1211">
        <f t="shared" si="1"/>
        <v>0</v>
      </c>
      <c r="M14" s="1211">
        <f t="shared" si="1"/>
        <v>0</v>
      </c>
      <c r="N14" s="1211">
        <f t="shared" si="1"/>
        <v>84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56</v>
      </c>
      <c r="AA14" s="1199">
        <f t="shared" si="3"/>
        <v>14</v>
      </c>
      <c r="AB14" s="1199">
        <f t="shared" si="3"/>
        <v>0</v>
      </c>
      <c r="AC14" s="1199">
        <f t="shared" si="3"/>
        <v>0</v>
      </c>
      <c r="AD14" s="1199">
        <f t="shared" si="3"/>
        <v>0</v>
      </c>
      <c r="AE14" s="1199">
        <f t="shared" si="3"/>
        <v>1254</v>
      </c>
      <c r="AF14" s="1211">
        <f t="shared" si="3"/>
        <v>0</v>
      </c>
      <c r="AG14" s="1211">
        <f t="shared" si="3"/>
        <v>0</v>
      </c>
      <c r="AH14" s="1211">
        <f t="shared" si="3"/>
        <v>0</v>
      </c>
      <c r="AI14" s="1211">
        <f t="shared" si="3"/>
        <v>0</v>
      </c>
      <c r="AJ14" s="1211">
        <f t="shared" si="3"/>
        <v>77</v>
      </c>
      <c r="AK14" s="1211">
        <f t="shared" si="3"/>
        <v>93</v>
      </c>
      <c r="AL14" s="1211">
        <f t="shared" si="3"/>
        <v>0</v>
      </c>
      <c r="AM14" s="1211">
        <f t="shared" si="3"/>
        <v>0</v>
      </c>
      <c r="AN14" s="1211">
        <f t="shared" si="3"/>
        <v>0</v>
      </c>
      <c r="AO14" s="1203">
        <f>IF(ISNUMBER(((NºAsuntos!I14/NºAsuntos!G14)*11)/factor_trimestre),((NºAsuntos!I14/NºAsuntos!G14)*11)/factor_trimestre," - ")</f>
        <v>6.8269230769230766</v>
      </c>
      <c r="AP14" s="1213" t="str">
        <f>IF(ISNUMBER(Datos!CI14/Datos!CJ14),Datos!CI14/Datos!CJ14," - ")</f>
        <v xml:space="preserve"> - </v>
      </c>
      <c r="AQ14" s="1236">
        <f t="shared" ref="AQ14:AV14" si="4">SUBTOTAL(9,AQ9:AQ13)</f>
        <v>0</v>
      </c>
      <c r="AR14" s="1236">
        <f t="shared" si="4"/>
        <v>2.2838499184339316E-2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315</v>
      </c>
      <c r="G17" s="552">
        <f>IF(ISNUMBER(IF(D_I="SI",Datos!I17,Datos!I17+Datos!AC17)),IF(D_I="SI",Datos!I17,Datos!I17+Datos!AC17)," - ")</f>
        <v>351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241</v>
      </c>
      <c r="Z17" s="805">
        <f>IF(ISNUMBER(Datos!Q17),Datos!Q17," - ")</f>
        <v>2</v>
      </c>
      <c r="AA17" s="551">
        <f>IF(ISNUMBER(IF(D_I="SI",Datos!L17,Datos!L17+Datos!AF17)),IF(D_I="SI",Datos!L17,Datos!L17+Datos!AF17)," - ")</f>
        <v>311</v>
      </c>
      <c r="AB17" s="549"/>
      <c r="AC17" s="549"/>
      <c r="AD17" s="563"/>
      <c r="AE17" s="563">
        <f>IF(ISNUMBER(Datos!R17),Datos!R17," - ")</f>
        <v>47</v>
      </c>
      <c r="AF17" s="693" t="str">
        <f>IF(ISNUMBER(Datos!BV17),Datos!BV17," - ")</f>
        <v xml:space="preserve"> - </v>
      </c>
      <c r="AG17" s="552"/>
      <c r="AH17" s="553"/>
      <c r="AI17" s="554"/>
      <c r="AJ17" s="552">
        <f>IF(ISNUMBER(Datos!M17),Datos!M17," - ")</f>
        <v>52</v>
      </c>
      <c r="AK17" s="693">
        <f>IF(ISNUMBER(Datos!N17),Datos!N17," - ")</f>
        <v>105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3.8713692946058096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v>
      </c>
      <c r="Z18" s="805">
        <f>IF(ISNUMBER(Datos!Q18),Datos!Q18," - ")</f>
        <v>0</v>
      </c>
      <c r="AA18" s="551">
        <f>IF(ISNUMBER(Datos!L18),Datos!L18,"-")</f>
        <v>32</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0</v>
      </c>
      <c r="AK18" s="693">
        <f>IF(ISNUMBER(Datos!N18),Datos!N18," - ")</f>
        <v>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10.666666666666666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315</v>
      </c>
      <c r="G23" s="1197">
        <f>SUBTOTAL(9,G16:G22)</f>
        <v>386</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250</v>
      </c>
      <c r="Z23" s="1240">
        <f t="shared" si="6"/>
        <v>2</v>
      </c>
      <c r="AA23" s="1240">
        <f t="shared" si="6"/>
        <v>343</v>
      </c>
      <c r="AB23" s="1240">
        <f t="shared" si="6"/>
        <v>0</v>
      </c>
      <c r="AC23" s="1240">
        <f t="shared" si="6"/>
        <v>0</v>
      </c>
      <c r="AD23" s="1240">
        <f t="shared" si="6"/>
        <v>0</v>
      </c>
      <c r="AE23" s="1240">
        <f t="shared" si="6"/>
        <v>48</v>
      </c>
      <c r="AF23" s="1240">
        <f t="shared" si="6"/>
        <v>0</v>
      </c>
      <c r="AG23" s="1240">
        <f t="shared" si="6"/>
        <v>0</v>
      </c>
      <c r="AH23" s="1240">
        <f t="shared" si="6"/>
        <v>0</v>
      </c>
      <c r="AI23" s="1240">
        <f t="shared" si="6"/>
        <v>0</v>
      </c>
      <c r="AJ23" s="1240">
        <f t="shared" si="6"/>
        <v>52</v>
      </c>
      <c r="AK23" s="1240">
        <f t="shared" si="6"/>
        <v>120</v>
      </c>
      <c r="AL23" s="1240">
        <f t="shared" si="6"/>
        <v>0</v>
      </c>
      <c r="AM23" s="1240">
        <f t="shared" si="6"/>
        <v>0</v>
      </c>
      <c r="AN23" s="1240">
        <f t="shared" si="6"/>
        <v>0</v>
      </c>
      <c r="AO23" s="1242">
        <f>IF(ISNUMBER(((NºAsuntos!I23/NºAsuntos!G23)*11)/factor_trimestre),((NºAsuntos!I23/NºAsuntos!G23)*11)/factor_trimestre," - ")</f>
        <v>4.1160000000000005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328</v>
      </c>
      <c r="G31" s="1117">
        <f t="shared" si="12"/>
        <v>402</v>
      </c>
      <c r="H31" s="1118">
        <f t="shared" si="12"/>
        <v>0</v>
      </c>
      <c r="I31" s="1117">
        <f t="shared" si="12"/>
        <v>0</v>
      </c>
      <c r="J31" s="1119">
        <f t="shared" si="12"/>
        <v>0</v>
      </c>
      <c r="K31" s="1117">
        <f t="shared" si="12"/>
        <v>0</v>
      </c>
      <c r="L31" s="1120">
        <f t="shared" si="12"/>
        <v>0</v>
      </c>
      <c r="M31" s="1117">
        <f t="shared" si="12"/>
        <v>0</v>
      </c>
      <c r="N31" s="1118">
        <f t="shared" si="12"/>
        <v>93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250</v>
      </c>
      <c r="Z31" s="1124">
        <f t="shared" si="13"/>
        <v>58</v>
      </c>
      <c r="AA31" s="1125">
        <f t="shared" si="13"/>
        <v>357</v>
      </c>
      <c r="AB31" s="1125">
        <f t="shared" si="13"/>
        <v>0</v>
      </c>
      <c r="AC31" s="1125">
        <f t="shared" si="13"/>
        <v>0</v>
      </c>
      <c r="AD31" s="1126">
        <f t="shared" si="13"/>
        <v>0</v>
      </c>
      <c r="AE31" s="1126">
        <f t="shared" si="13"/>
        <v>1302</v>
      </c>
      <c r="AF31" s="1127">
        <f t="shared" si="13"/>
        <v>0</v>
      </c>
      <c r="AG31" s="1128">
        <f t="shared" si="13"/>
        <v>0</v>
      </c>
      <c r="AH31" s="1129">
        <f t="shared" si="13"/>
        <v>0</v>
      </c>
      <c r="AI31" s="1127">
        <f t="shared" si="13"/>
        <v>0</v>
      </c>
      <c r="AJ31" s="1117">
        <f t="shared" si="13"/>
        <v>129</v>
      </c>
      <c r="AK31" s="1117">
        <f t="shared" si="13"/>
        <v>213</v>
      </c>
      <c r="AL31" s="1117">
        <f t="shared" si="13"/>
        <v>0</v>
      </c>
      <c r="AM31" s="1130">
        <f t="shared" si="13"/>
        <v>0</v>
      </c>
      <c r="AN31" s="1120">
        <f>IF(ISNUMBER(Datos!K31/Datos!J31),Datos!K31/Datos!J31," - ")</f>
        <v>0.94551845342706498</v>
      </c>
      <c r="AO31" s="1120">
        <f>IF(ISNUMBER(FIND("06",Criterios!A8,1)),(IF(ISNUMBER(((Datos!R31/Datos!Q31)*11)/factor_trimestre),((Datos!R31/Datos!Q31)*11)/factor_trimestre," - ")),(IF(ISNUMBER(((Datos!L31/Datos!K31)*11)/factor_trimestre),((Datos!L31/Datos!K31)*11)/factor_trimestre," - ")))</f>
        <v>5.6821561338289959</v>
      </c>
      <c r="AP31" s="1131" t="str">
        <f>IF(ISNUMBER(Datos!CI31/Datos!CJ31),Datos!CI31/Datos!CJ31," - ")</f>
        <v xml:space="preserve"> - </v>
      </c>
      <c r="AQ31" s="1131">
        <f>IF(OR(ISNUMBER(FIND("01",Criterios!A8,1)),ISNUMBER(FIND("02",Criterios!A8,1)),ISNUMBER(FIND("03",Criterios!A8,1)),ISNUMBER(FIND("04",Criterios!A8,1))),(J31-Y31+K31)/(F31-K31),(I31-Y31+K31)/(F31-K31))</f>
        <v>-0.76219512195121952</v>
      </c>
      <c r="AR31" s="1131">
        <f>IF(ISNUMBER((Datos!P31-Datos!Q31+O31)/(Datos!R31-Datos!P31+Datos!Q31-O31)),(Datos!P31-Datos!Q31+O31)/(Datos!R31-Datos!P31+Datos!Q31-O31)," - ")</f>
        <v>2.7624309392265192E-2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114.85714285714286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159.41476301355112</v>
      </c>
      <c r="G33" s="674">
        <f>IF(ISNUMBER(STDEV(G8:G30)),STDEV(G8:G30),"-")</f>
        <v>173.96784048728526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35.74812682405291</v>
      </c>
      <c r="AK33" s="276"/>
      <c r="AL33" s="276">
        <f>IF(ISNUMBER(STDEV(AL8:AL30)),STDEV(AL8:AL30),"-")</f>
        <v>0</v>
      </c>
      <c r="AM33" s="278">
        <f>IF(ISNUMBER(STDEV(AM8:AM30)),STDEV(AM8:AM30),"-")</f>
        <v>0</v>
      </c>
      <c r="AN33" s="660">
        <f>IF(ISNUMBER(STDEV(AN8:AN30)),STDEV(AN8:AN30),"-")</f>
        <v>0</v>
      </c>
      <c r="AO33" s="661">
        <f>IF(ISNUMBER(STDEV(AO8:AO30)),STDEV(AO8:AO30),"-")</f>
        <v>2.7421149008255781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8DWRMNff6MB3l/t1NqrcZ5irnlHKkpm0IJE07fns3cALoAOUSv0o2kiWbPVMHuWtzICYx61cUIqnz7D7zKu4cw==" saltValue="brGTKrdfIIkkfb3UFA8L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Zj+k2F1VxGVPqtZo5CGhrcwX5kb0rneJtAsYIOcHcA3rR1ira/uUS4Zr5DCymYTmbFDlXYrUeEpVntaL2uuVA==" saltValue="WEG4HaCuuubu/+Z651dM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n1Ec4nki1sQ0tWVLPJh5MplUWjT/4TzfLTD0ZfjJU1BHO1xwAj+SVaMqyy86Y15XXXKZeXyvwIYA41YwW9evw==" saltValue="euUTsMvvybVFPEyjGuPK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CALDAS DE REIS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0.24679487179487181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0.17451032740821848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UFgAZ1/9cAB9+YBoZKXwNDyAjFdsG+qiX50uTCWi68u7rpbXmNOaalC7GchcYKb1bG/pklDKy+6ARnoHDNP/nw==" saltValue="nzv9OcZ1KRM91qwtn5Bs9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nHuEpKcFiPkifn2S7LR/VqmetYGlijU1zfRZ/KPsa2nlrLDstbbED/0NsttgRbV8kLVKJFEAEILZMziL2vhuQ==" saltValue="Mwld3Ph4uLQX9MCWZQKu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CALDAS DE REIS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v>
      </c>
      <c r="D10" s="452">
        <f>IF(ISNUMBER(C10/Datos!BH10),C10/Datos!BH10," - ")</f>
        <v>16</v>
      </c>
      <c r="E10" s="451">
        <f>IF(ISNUMBER(Datos!J10),Datos!J10," - ")</f>
        <v>1</v>
      </c>
      <c r="F10" s="452">
        <f>IF(ISNUMBER(E10/B10),E10/B10," - ")</f>
        <v>1</v>
      </c>
      <c r="G10" s="451">
        <f>IF(ISNUMBER(Datos!K10),Datos!K10," - ")</f>
        <v>0</v>
      </c>
      <c r="H10" s="452">
        <f>IF(ISNUMBER(G10/B10),G10/B10," - ")</f>
        <v>0</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711</v>
      </c>
      <c r="D12" s="452">
        <f>IF(ISNUMBER(C12/Datos!BH12),C12/Datos!BH12," - ")</f>
        <v>355.5</v>
      </c>
      <c r="E12" s="451">
        <f>IF(ISNUMBER(IF(J_V="SI",Datos!J12,Datos!J12+Datos!Z12)),IF(J_V="SI",Datos!J12,Datos!J12+Datos!Z12)," - ")</f>
        <v>358</v>
      </c>
      <c r="F12" s="452">
        <f>IF(ISNUMBER(E12/B12),E12/B12," - ")</f>
        <v>179</v>
      </c>
      <c r="G12" s="451">
        <f>IF(ISNUMBER(IF(J_V="SI",Datos!K12,Datos!K12+Datos!AA12)),IF(J_V="SI",Datos!K12,Datos!K12+Datos!AA12)," - ")</f>
        <v>312</v>
      </c>
      <c r="H12" s="452">
        <f>IF(ISNUMBER(G12/B12),G12/B12," - ")</f>
        <v>156</v>
      </c>
      <c r="I12" s="451">
        <f>IF(ISNUMBER(IF(J_V="SI",Datos!L12,Datos!L12+Datos!AB12)),IF(J_V="SI",Datos!L12,Datos!L12+Datos!AB12)," - ")</f>
        <v>696</v>
      </c>
      <c r="J12" s="452">
        <f>IF(ISNUMBER(I12/B12),I12/B12," - ")</f>
        <v>348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727</v>
      </c>
      <c r="D14" s="1147" t="str">
        <f>IF(ISNUMBER(C14/Datos!BI14),C14/Datos!BI14," - ")</f>
        <v xml:space="preserve"> - </v>
      </c>
      <c r="E14" s="1146">
        <f>SUBTOTAL(9,E8:E13)</f>
        <v>359</v>
      </c>
      <c r="F14" s="1147">
        <f>IF(ISNUMBER(E14/B14),E14/B14," - ")</f>
        <v>179.5</v>
      </c>
      <c r="G14" s="1146">
        <f>SUBTOTAL(9,G8:G13)</f>
        <v>312</v>
      </c>
      <c r="H14" s="1147">
        <f>IF(ISNUMBER(G14/B14),G14/B14," - ")</f>
        <v>156</v>
      </c>
      <c r="I14" s="1146">
        <f>SUBTOTAL(9,I8:I13)</f>
        <v>710</v>
      </c>
      <c r="J14" s="1147">
        <f>IF(ISNUMBER(I14/B14),I14/B14," - ")</f>
        <v>355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351</v>
      </c>
      <c r="D17" s="452">
        <f>IF(ISNUMBER(C17/Datos!BH17),C17/Datos!BH17," - ")</f>
        <v>175.5</v>
      </c>
      <c r="E17" s="451">
        <f>IF(ISNUMBER(IF(D_I="SI",Datos!J17,Datos!J17+Datos!AD17)),IF(D_I="SI",Datos!J17,Datos!J17+Datos!AD17)," - ")</f>
        <v>237</v>
      </c>
      <c r="F17" s="452">
        <f>IF(ISNUMBER(E17/B17),E17/B17," - ")</f>
        <v>118.5</v>
      </c>
      <c r="G17" s="451">
        <f>IF(ISNUMBER(IF(D_I="SI",Datos!K17,Datos!K17+Datos!AE17)),IF(D_I="SI",Datos!K17,Datos!K17+Datos!AE17)," - ")</f>
        <v>241</v>
      </c>
      <c r="H17" s="452">
        <f>IF(ISNUMBER(G17/B17),G17/B17," - ")</f>
        <v>120.5</v>
      </c>
      <c r="I17" s="451">
        <f>IF(ISNUMBER(IF(D_I="SI",Datos!L17,Datos!L17+Datos!AF17)),IF(D_I="SI",Datos!L17,Datos!L17+Datos!AF17)," - ")</f>
        <v>311</v>
      </c>
      <c r="J17" s="452">
        <f>IF(ISNUMBER(I17/B17),I17/B17," - ")</f>
        <v>155.5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35</v>
      </c>
      <c r="D18" s="452">
        <f>IF(ISNUMBER(C18/Datos!BH18),C18/Datos!BH18," - ")</f>
        <v>35</v>
      </c>
      <c r="E18" s="451">
        <f>IF(ISNUMBER(IF(D_I="SI",Datos!J18,Datos!J18+Datos!AD18)),IF(D_I="SI",Datos!J18,Datos!J18+Datos!AD18)," - ")</f>
        <v>9</v>
      </c>
      <c r="F18" s="452">
        <f>IF(ISNUMBER(E18/B18),E18/B18," - ")</f>
        <v>9</v>
      </c>
      <c r="G18" s="451">
        <f>IF(ISNUMBER(IF(D_I="SI",Datos!K18,Datos!K18+Datos!AE18)),IF(D_I="SI",Datos!K18,Datos!K18+Datos!AE18)," - ")</f>
        <v>9</v>
      </c>
      <c r="H18" s="452">
        <f>IF(ISNUMBER(G18/B18),G18/B18," - ")</f>
        <v>9</v>
      </c>
      <c r="I18" s="451">
        <f>IF(ISNUMBER(IF(D_I="SI",Datos!L18,Datos!L18+Datos!AF18)),IF(D_I="SI",Datos!L18,Datos!L18+Datos!AF18)," - ")</f>
        <v>32</v>
      </c>
      <c r="J18" s="452">
        <f>IF(ISNUMBER(I18/B18),I18/B18," - ")</f>
        <v>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386</v>
      </c>
      <c r="D23" s="1147" t="str">
        <f>IF(ISNUMBER(C23/Datos!BI23),C23/Datos!BI23," - ")</f>
        <v xml:space="preserve"> - </v>
      </c>
      <c r="E23" s="1146">
        <f>SUBTOTAL(9,E15:E22)</f>
        <v>246</v>
      </c>
      <c r="F23" s="1147">
        <f>IF(ISNUMBER(E23/B23),E23/B23," - ")</f>
        <v>123</v>
      </c>
      <c r="G23" s="1146">
        <f>SUBTOTAL(9,G15:G22)</f>
        <v>250</v>
      </c>
      <c r="H23" s="1147">
        <f>IF(ISNUMBER(G23/B23),G23/B23," - ")</f>
        <v>125</v>
      </c>
      <c r="I23" s="1146">
        <f>SUBTOTAL(9,I15:I22)</f>
        <v>343</v>
      </c>
      <c r="J23" s="1147">
        <f>IF(ISNUMBER(I23/B23),I23/B23," - ")</f>
        <v>171.5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1113</v>
      </c>
      <c r="D31" s="1085" t="str">
        <f>IF(ISNUMBER(C31/Datos!BI31),C31/Datos!BI31," - ")</f>
        <v xml:space="preserve"> - </v>
      </c>
      <c r="E31" s="1084">
        <f>SUBTOTAL(9,E9:E30)</f>
        <v>605</v>
      </c>
      <c r="F31" s="1085">
        <f>IF(ISNUMBER(E31/B31),E31/B31," - ")</f>
        <v>302.5</v>
      </c>
      <c r="G31" s="1084">
        <f>SUBTOTAL(9,G9:G30)</f>
        <v>562</v>
      </c>
      <c r="H31" s="1085">
        <f>IF(ISNUMBER(G31/B31),G31/B31," - ")</f>
        <v>281</v>
      </c>
      <c r="I31" s="1084">
        <f>SUBTOTAL(9,I9:I30)</f>
        <v>1053</v>
      </c>
      <c r="J31" s="1085">
        <f>IF(ISNUMBER(I31/B31),I31/B31," - ")</f>
        <v>526.5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CwxmKA+yNWaO5nT0U3N3HvZfiTAMDvD1ZbYNi1c6rJNIiOUtTuJlEwKctMrkm0HoONsJ+DUUSy32l6PLzqCL2w==" saltValue="/L5C2MrRJ/+QNJ6KNJPaM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CALDAS DE REIS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16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1254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77</v>
      </c>
      <c r="AM12" s="914">
        <f>IF(ISNUMBER(Datos!N12+DatosP!N17),Datos!N12+DatosP!N17," - ")</f>
        <v>93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6.6923076923076934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2.2838499184339316E-2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13</v>
      </c>
      <c r="G14" s="1256">
        <f t="shared" si="0"/>
        <v>16</v>
      </c>
      <c r="H14" s="1256">
        <f t="shared" si="0"/>
        <v>0</v>
      </c>
      <c r="I14" s="1258">
        <f t="shared" si="0"/>
        <v>0</v>
      </c>
      <c r="J14" s="1257">
        <f t="shared" si="0"/>
        <v>0</v>
      </c>
      <c r="K14" s="1257">
        <f t="shared" si="0"/>
        <v>0</v>
      </c>
      <c r="L14" s="1259">
        <f t="shared" si="0"/>
        <v>0</v>
      </c>
      <c r="M14" s="1259">
        <f t="shared" si="0"/>
        <v>0</v>
      </c>
      <c r="N14" s="1257">
        <f t="shared" si="0"/>
        <v>84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56</v>
      </c>
      <c r="AE14" s="1257">
        <f t="shared" si="1"/>
        <v>0</v>
      </c>
      <c r="AF14" s="1257">
        <f t="shared" si="1"/>
        <v>14</v>
      </c>
      <c r="AG14" s="1257">
        <f t="shared" si="1"/>
        <v>0</v>
      </c>
      <c r="AH14" s="1257">
        <f t="shared" si="1"/>
        <v>1254</v>
      </c>
      <c r="AI14" s="1257">
        <f t="shared" si="1"/>
        <v>0</v>
      </c>
      <c r="AJ14" s="1257">
        <f t="shared" si="1"/>
        <v>0</v>
      </c>
      <c r="AK14" s="1257">
        <f t="shared" si="1"/>
        <v>0</v>
      </c>
      <c r="AL14" s="1257">
        <f t="shared" si="1"/>
        <v>77</v>
      </c>
      <c r="AM14" s="1257">
        <f t="shared" si="1"/>
        <v>93</v>
      </c>
      <c r="AN14" s="1257">
        <f t="shared" si="1"/>
        <v>0</v>
      </c>
      <c r="AO14" s="1257">
        <f t="shared" si="1"/>
        <v>0</v>
      </c>
      <c r="AP14" s="1262">
        <f>IF(ISNUMBER(((Datos!L14/Datos!K14)*11)/factor_trimestre),((Datos!L14/Datos!K14)*11)/factor_trimestre," - ")</f>
        <v>7.0416666666666679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2.2838499184339316E-2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4.1160000000000005</v>
      </c>
      <c r="AQ23" s="1262">
        <f>IF(ISNUMBER(((Datos!M23/Datos!L23)*11)/factor_trimestre),((Datos!M23/Datos!L23)*11)/factor_trimestre," - ")</f>
        <v>0.45481049562682219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0.17073170731707318</v>
      </c>
      <c r="AW23" s="1265">
        <f>IF(ISNUMBER((Datos!Q23-Datos!R23)/(Datos!S23-Datos!Q23+Datos!R23)),(Datos!Q23-Datos!R23)/(Datos!S23-Datos!Q23+Datos!R23)," - ")</f>
        <v>-0.11586901763224182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13</v>
      </c>
      <c r="G31" s="1278">
        <f t="shared" si="8"/>
        <v>16</v>
      </c>
      <c r="H31" s="1278">
        <f t="shared" si="8"/>
        <v>0</v>
      </c>
      <c r="I31" s="1279">
        <f t="shared" si="8"/>
        <v>0</v>
      </c>
      <c r="J31" s="1280">
        <f t="shared" si="8"/>
        <v>0</v>
      </c>
      <c r="K31" s="1280">
        <f t="shared" si="8"/>
        <v>0</v>
      </c>
      <c r="L31" s="1280">
        <f t="shared" si="8"/>
        <v>0</v>
      </c>
      <c r="M31" s="1280">
        <f t="shared" si="8"/>
        <v>0</v>
      </c>
      <c r="N31" s="1279">
        <f t="shared" si="8"/>
        <v>84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56</v>
      </c>
      <c r="AE31" s="1284">
        <f t="shared" si="9"/>
        <v>0</v>
      </c>
      <c r="AF31" s="1285">
        <f t="shared" si="9"/>
        <v>14</v>
      </c>
      <c r="AG31" s="1285">
        <f t="shared" si="9"/>
        <v>0</v>
      </c>
      <c r="AH31" s="1285">
        <f t="shared" si="9"/>
        <v>1254</v>
      </c>
      <c r="AI31" s="1285">
        <f t="shared" si="9"/>
        <v>0</v>
      </c>
      <c r="AJ31" s="1286">
        <f t="shared" si="9"/>
        <v>0</v>
      </c>
      <c r="AK31" s="1286">
        <f t="shared" si="9"/>
        <v>0</v>
      </c>
      <c r="AL31" s="1278">
        <f t="shared" si="9"/>
        <v>77</v>
      </c>
      <c r="AM31" s="1278">
        <f t="shared" si="9"/>
        <v>93</v>
      </c>
      <c r="AN31" s="1278">
        <f t="shared" si="9"/>
        <v>0</v>
      </c>
      <c r="AO31" s="1278">
        <f t="shared" si="9"/>
        <v>0</v>
      </c>
      <c r="AP31" s="1278">
        <f>IF(ISNUMBER(((Datos!L31/Datos!K31)*11)/factor_trimestre),((Datos!L31/Datos!K31)*11)/factor_trimestre," - ")</f>
        <v>5.6821561338289959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2.7624309392265192E-2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7.1203932475671596</v>
      </c>
      <c r="G33" s="1007">
        <f>IF(ISNUMBER(STDEV(G8:G30)),STDEV(G8:G30),"-")</f>
        <v>8.7635609200826572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39.762629021062814</v>
      </c>
      <c r="AM33" s="1006"/>
      <c r="AN33" s="1006">
        <f>IF(ISNUMBER(STDEV(AN8:AN30)),STDEV(AN8:AN30),"-")</f>
        <v>0</v>
      </c>
      <c r="AO33" s="1012">
        <f>IF(ISNUMBER(STDEV(AO8:AO30)),STDEV(AO8:AO30),"-")</f>
        <v>0</v>
      </c>
      <c r="AP33" s="1065">
        <f>IF(ISNUMBER(STDEV(AP8:AP30)),STDEV(AP8:AP30),"-")</f>
        <v>1.5978599470778323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wkP4hP845LP9WFPXRHiP+Z6mSi/L+d7FBP9MdyRsyn5Y4HG4yZtin1OOwh5xNMLd28fuasGYWzK4HIaguXwxw==" saltValue="5Hj2ss68jfYgd2QRwmQF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CALDAS DE REIS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34ruBHj1bMUqJF9fu3gS8U5VHdvrPg6zHumaXiGgks0lokOx3d2JCF0LAYItyW5N2KA3kuHQaVKz3PliHZmxQ==" saltValue="H2s8e6QSn5GJVnhD3ICpv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CALDAS DE REIS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77</v>
      </c>
      <c r="E12" s="452">
        <f t="shared" si="0"/>
        <v>38.5</v>
      </c>
      <c r="F12" s="451">
        <f>IF(ISNUMBER(Datos!N12),Datos!N12," - ")</f>
        <v>93</v>
      </c>
      <c r="G12" s="452">
        <f t="shared" si="1"/>
        <v>46.5</v>
      </c>
      <c r="H12" s="451">
        <f>IF(ISNUMBER(Datos!O12),Datos!O12," - ")</f>
        <v>107</v>
      </c>
      <c r="I12" s="452">
        <f t="shared" si="2"/>
        <v>53.5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77</v>
      </c>
      <c r="E14" s="1147">
        <f t="shared" si="0"/>
        <v>25.666666666666668</v>
      </c>
      <c r="F14" s="1146">
        <f>SUBTOTAL(9,F9:F13)</f>
        <v>93</v>
      </c>
      <c r="G14" s="1147">
        <f t="shared" si="1"/>
        <v>31</v>
      </c>
      <c r="H14" s="1146">
        <f>SUBTOTAL(9,H9:H13)</f>
        <v>107</v>
      </c>
      <c r="I14" s="1147">
        <f>IF(ISNUMBER(H14/B14),H14/B14," - ")</f>
        <v>35.666666666666664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52</v>
      </c>
      <c r="E17" s="452">
        <f t="shared" si="3"/>
        <v>26</v>
      </c>
      <c r="F17" s="451">
        <f>IF(ISNUMBER(Datos!N17),Datos!N17," - ")</f>
        <v>105</v>
      </c>
      <c r="G17" s="452">
        <f t="shared" si="4"/>
        <v>52.5</v>
      </c>
      <c r="H17" s="451">
        <f>IF(ISNUMBER(Datos!O17),Datos!O17," - ")</f>
        <v>1</v>
      </c>
      <c r="I17" s="452">
        <f t="shared" si="5"/>
        <v>0.5</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15</v>
      </c>
      <c r="G18" s="452">
        <f>IF(ISNUMBER(F18/B18),F18/B18," - ")</f>
        <v>15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52</v>
      </c>
      <c r="E23" s="1147">
        <f t="shared" si="3"/>
        <v>17.333333333333332</v>
      </c>
      <c r="F23" s="1146">
        <f>SUBTOTAL(9,F16:F22)</f>
        <v>120</v>
      </c>
      <c r="G23" s="1147">
        <f t="shared" si="4"/>
        <v>40</v>
      </c>
      <c r="H23" s="1146">
        <f>SUBTOTAL(9,H16:H22)</f>
        <v>1</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129</v>
      </c>
      <c r="E31" s="1085">
        <f>IF(ISNUMBER(D31/B31),D31/B31," - ")</f>
        <v>64.5</v>
      </c>
      <c r="F31" s="1084">
        <f>SUBTOTAL(9,F8:F30)</f>
        <v>213</v>
      </c>
      <c r="G31" s="1085">
        <f>IF(ISNUMBER(F31/B31),F31/B31," - ")</f>
        <v>106.5</v>
      </c>
      <c r="H31" s="1084">
        <f>SUBTOTAL(9,H8:H30)</f>
        <v>108</v>
      </c>
      <c r="I31" s="1085">
        <f>IF(ISNUMBER(H31/B31),H31/B31," - ")</f>
        <v>54</v>
      </c>
    </row>
    <row r="34" spans="1:1">
      <c r="A34" s="439" t="str">
        <f>Criterios!A4</f>
        <v>Fecha Informe: 06 may. 2023</v>
      </c>
    </row>
    <row r="39" spans="1:1">
      <c r="A39" s="462"/>
    </row>
  </sheetData>
  <sheetProtection algorithmName="SHA-512" hashValue="cMnODQSUVPFlSxkcit7wjZdJkjcvK1cni7amkrDPNNVfc+3R2a4DNaTZHDvSC7NlFo9UV0WLd8mWEy+O/bG6pw==" saltValue="INATecqEK9dy3Ntgu5u1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CALDAS DE REIS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84</v>
      </c>
      <c r="C12" s="489">
        <f>IF(ISNUMBER(Datos!Q12),Datos!Q12," - ")</f>
        <v>56</v>
      </c>
      <c r="D12" s="456">
        <f>IF(ISNUMBER(Datos!R12),Datos!R12," - ")</f>
        <v>1254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84</v>
      </c>
      <c r="C14" s="1150">
        <f>SUBTOTAL(9,C9:C13)</f>
        <v>56</v>
      </c>
      <c r="D14" s="1148">
        <f>SUBTOTAL(9,D9:D13)</f>
        <v>1254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2</v>
      </c>
      <c r="D17" s="456">
        <f>IF(ISNUMBER(Datos!R17),Datos!R17," - ")</f>
        <v>47</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2</v>
      </c>
      <c r="D23" s="1148">
        <f>SUBTOTAL(9,D16:D22)</f>
        <v>48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93</v>
      </c>
      <c r="C31" s="1089">
        <f>SUBTOTAL(9,C8:C30)</f>
        <v>58</v>
      </c>
      <c r="D31" s="1090">
        <f>SUBTOTAL(9,D8:D30)</f>
        <v>1302</v>
      </c>
    </row>
    <row r="32" spans="1:4" ht="7.5" customHeight="1"/>
    <row r="33" spans="1:1" ht="6" customHeight="1"/>
    <row r="34" spans="1:1">
      <c r="A34" s="439" t="str">
        <f>Criterios!A4</f>
        <v>Fecha Informe: 06 may. 2023</v>
      </c>
    </row>
    <row r="39" spans="1:1">
      <c r="A39" s="462"/>
    </row>
  </sheetData>
  <sheetProtection algorithmName="SHA-512" hashValue="agQwlniI7QMAGI84MGoPFCrXn1T0pSwvP++FmnnyHhgX2Cx8HqwuELZPW+P9GL8xfXWXN27ZX8QRM9hN5bvKcA==" saltValue="K5ekN6F4YJGcIJ2ZjCOZ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CALDAS DE REIS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1.6666666666666667</v>
      </c>
      <c r="C10" s="515">
        <f>IF(ISNUMBER((Datos!J10-Datos!T10)/Datos!T10),(Datos!J10-Datos!T10)/Datos!T10," - ")</f>
        <v>-0.5</v>
      </c>
      <c r="D10" s="515">
        <f>IF(ISNUMBER((Datos!K10-Datos!U10)/Datos!U10),(Datos!K10-Datos!U10)/Datos!U10," - ")</f>
        <v>-1</v>
      </c>
      <c r="E10" s="515">
        <f>IF(ISNUMBER((Datos!L10-Datos!V10)/Datos!V10),(Datos!L10-Datos!V10)/Datos!V10," - ")</f>
        <v>1.3333333333333333</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9.0490797546012275E-2</v>
      </c>
      <c r="C12" s="515">
        <f>IF(ISNUMBER(
   IF(J_V="SI",(Datos!J12-Datos!T12)/Datos!T12,(Datos!J12+Datos!Z12-(Datos!T12+Datos!AH12))/(Datos!T12+Datos!AH12))
     ),IF(J_V="SI",(Datos!J12-Datos!T12)/Datos!T12,(Datos!J12+Datos!Z12-(Datos!T12+Datos!AH12))/(Datos!T12+Datos!AH12))," - ")</f>
        <v>0.16233766233766234</v>
      </c>
      <c r="D12" s="515">
        <f>IF(ISNUMBER(
   IF(J_V="SI",(Datos!K12-Datos!U12)/Datos!U12,(Datos!K12+Datos!AA12-(Datos!U12+Datos!AI12))/(Datos!U12+Datos!AI12))
     ),IF(J_V="SI",(Datos!K12-Datos!U12)/Datos!U12,(Datos!K12+Datos!AA12-(Datos!U12+Datos!AI12))/(Datos!U12+Datos!AI12))," - ")</f>
        <v>-2.8037383177570093E-2</v>
      </c>
      <c r="E12" s="515">
        <f>IF(ISNUMBER(
   IF(J_V="SI",(Datos!L12-Datos!V12)/Datos!V12,(Datos!L12+Datos!AB12-(Datos!V12+Datos!AJ12))/(Datos!V12+Datos!AJ12))
     ),IF(J_V="SI",(Datos!L12-Datos!V12)/Datos!V12,(Datos!L12+Datos!AB12-(Datos!V12+Datos!AJ12))/(Datos!V12+Datos!AJ12))," - ")</f>
        <v>8.9201877934272297E-2</v>
      </c>
      <c r="F12" s="515">
        <f>IF(ISNUMBER((Datos!M12-Datos!W12)/Datos!W12),(Datos!M12-Datos!W12)/Datos!W12," - ")</f>
        <v>6.9444444444444448E-2</v>
      </c>
      <c r="G12" s="516">
        <f>IF(ISNUMBER((Datos!N12-Datos!X12)/Datos!X12),(Datos!N12-Datos!X12)/Datos!X12," - ")</f>
        <v>-0.16964285714285715</v>
      </c>
      <c r="H12" s="514">
        <f>IF(ISNUMBER(((NºAsuntos!G12/NºAsuntos!E12)-Datos!BD12)/Datos!BD12),((NºAsuntos!G12/NºAsuntos!E12)-Datos!BD12)/Datos!BD12," - ")</f>
        <v>-0.16378635200751837</v>
      </c>
      <c r="I12" s="515">
        <f>IF(ISNUMBER(((NºAsuntos!I12/NºAsuntos!G12)-Datos!BE12)/Datos!BE12),((NºAsuntos!I12/NºAsuntos!G12)-Datos!BE12)/Datos!BE12," - ")</f>
        <v>0.12062116287468397</v>
      </c>
      <c r="J12" s="521">
        <f>IF(ISNUMBER((('Resol  Asuntos'!D12/NºAsuntos!G12)-Datos!BF12)/Datos!BF12),(('Resol  Asuntos'!D12/NºAsuntos!G12)-Datos!BF12)/Datos!BF12," - ")</f>
        <v>-0.29266826923076916</v>
      </c>
      <c r="K12" s="522">
        <f>IF(ISNUMBER((((NºAsuntos!C12+NºAsuntos!E12)/NºAsuntos!G12)-Datos!BG12)/Datos!BG12),(((NºAsuntos!C12+NºAsuntos!E12)/NºAsuntos!G12)-Datos!BG12)/Datos!BG12," - ")</f>
        <v>0.14566306089743589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0.10486322188449848</v>
      </c>
      <c r="C14" s="1152">
        <f>IF(ISNUMBER(
   IF(J_V="SI",(Datos!J14-Datos!T14)/Datos!T14,(Datos!J14+Datos!Z14-(Datos!T14+Datos!AH14))/(Datos!T14+Datos!AH14))
     ),IF(J_V="SI",(Datos!J14-Datos!T14)/Datos!T14,(Datos!J14+Datos!Z14-(Datos!T14+Datos!AH14))/(Datos!T14+Datos!AH14))," - ")</f>
        <v>0.15806451612903225</v>
      </c>
      <c r="D14" s="1152">
        <f>IF(ISNUMBER(
   IF(J_V="SI",(Datos!K14-Datos!U14)/Datos!U14,(Datos!K14+Datos!AA14-(Datos!U14+Datos!AI14))/(Datos!U14+Datos!AI14))
     ),IF(J_V="SI",(Datos!K14-Datos!U14)/Datos!U14,(Datos!K14+Datos!AA14-(Datos!U14+Datos!AI14))/(Datos!U14+Datos!AI14))," - ")</f>
        <v>-3.4055727554179564E-2</v>
      </c>
      <c r="E14" s="1152">
        <f>IF(ISNUMBER(
   IF(J_V="SI",(Datos!L14-Datos!V14)/Datos!V14,(Datos!L14+Datos!AB14-(Datos!V14+Datos!AJ14))/(Datos!V14+Datos!AJ14))
     ),IF(J_V="SI",(Datos!L14-Datos!V14)/Datos!V14,(Datos!L14+Datos!AB14-(Datos!V14+Datos!AJ14))/(Datos!V14+Datos!AJ14))," - ")</f>
        <v>0.10077519379844961</v>
      </c>
      <c r="F14" s="1153">
        <f>IF(ISNUMBER((Datos!M14-Datos!W14)/Datos!W14),(Datos!M14-Datos!W14)/Datos!W14," - ")</f>
        <v>6.9444444444444448E-2</v>
      </c>
      <c r="G14" s="1154">
        <f>IF(ISNUMBER((Datos!N14-Datos!X14)/Datos!X14),(Datos!N14-Datos!X14)/Datos!X14," - ")</f>
        <v>-0.17699115044247787</v>
      </c>
      <c r="H14" s="1154">
        <f>IF(ISNUMBER(((NºAsuntos!G14/NºAsuntos!E14)-Datos!BD14)/Datos!BD14),((NºAsuntos!G14/NºAsuntos!E14)-Datos!BD14)/Datos!BD14," - ")</f>
        <v>-0.16589770345904092</v>
      </c>
      <c r="I14" s="1154">
        <f>IF(ISNUMBER(((NºAsuntos!I14/NºAsuntos!G14)-Datos!BE14)/Datos!BE14),((NºAsuntos!I14/NºAsuntos!G14)-Datos!BE14)/Datos!BE14," - ")</f>
        <v>0.13958457563108723</v>
      </c>
      <c r="J14" s="1154">
        <f>IF(ISNUMBER((('Resol  Asuntos'!D14/NºAsuntos!G14)-Datos!BF14)/Datos!BF14),(('Resol  Asuntos'!D14/NºAsuntos!G14)-Datos!BF14)/Datos!BF14," - ")</f>
        <v>-0.28826121794871795</v>
      </c>
      <c r="K14" s="1154">
        <f>IF(ISNUMBER((((NºAsuntos!C14+NºAsuntos!E14)/NºAsuntos!G14)-Datos!BG14)/Datos!BG14),(((NºAsuntos!C14+NºAsuntos!E14)/NºAsuntos!G14)-Datos!BG14)/Datos!BG14," - ")</f>
        <v>0.16145502225047684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9.0062111801242239E-2</v>
      </c>
      <c r="C17" s="515">
        <f>IF(ISNUMBER(
   IF(D_I="SI",(Datos!J17-Datos!T17)/Datos!T17,(Datos!J17+Datos!AD17-(Datos!T17+Datos!AL17))/(Datos!T17+Datos!AL17))
     ),IF(D_I="SI",(Datos!J17-Datos!T17)/Datos!T17,(Datos!J17+Datos!AD17-(Datos!T17+Datos!AL17))/(Datos!T17+Datos!AL17))," - ")</f>
        <v>-0.1444043321299639</v>
      </c>
      <c r="D17" s="515">
        <f>IF(ISNUMBER(
   IF(D_I="SI",(Datos!K17-Datos!U17)/Datos!U17,(Datos!K17+Datos!AE17-(Datos!U17+Datos!AM17))/(Datos!U17+Datos!AM17))
     ),IF(D_I="SI",(Datos!K17-Datos!U17)/Datos!U17,(Datos!K17+Datos!AE17-(Datos!U17+Datos!AM17))/(Datos!U17+Datos!AM17))," - ")</f>
        <v>-0.24687500000000001</v>
      </c>
      <c r="E17" s="515">
        <f>IF(ISNUMBER(
   IF(D_I="SI",(Datos!L17-Datos!V17)/Datos!V17,(Datos!L17+Datos!AF17-(Datos!V17+Datos!AN17))/(Datos!V17+Datos!AN17))
     ),IF(D_I="SI",(Datos!L17-Datos!V17)/Datos!V17,(Datos!L17+Datos!AF17-(Datos!V17+Datos!AN17))/(Datos!V17+Datos!AN17))," - ")</f>
        <v>8.7412587412587409E-2</v>
      </c>
      <c r="F17" s="515">
        <f>IF(ISNUMBER((Datos!M17-Datos!W17)/Datos!W17),(Datos!M17-Datos!W17)/Datos!W17," - ")</f>
        <v>-0.26760563380281688</v>
      </c>
      <c r="G17" s="516">
        <f>IF(ISNUMBER((Datos!N17-Datos!X17)/Datos!X17),(Datos!N17-Datos!X17)/Datos!X17," - ")</f>
        <v>-0.32692307692307693</v>
      </c>
      <c r="H17" s="514">
        <f>IF(ISNUMBER(((NºAsuntos!G17/NºAsuntos!E17)-Datos!BD17)/Datos!BD17),((NºAsuntos!G17/NºAsuntos!E17)-Datos!BD17)/Datos!BD17," - ")</f>
        <v>-0.11976529535864977</v>
      </c>
      <c r="I17" s="515">
        <f>IF(ISNUMBER(((NºAsuntos!I17/NºAsuntos!G17)-Datos!BE17)/Datos!BE17),((NºAsuntos!I17/NºAsuntos!G17)-Datos!BE17)/Datos!BE17," - ")</f>
        <v>0.44386733598351857</v>
      </c>
      <c r="J17" s="521">
        <f>IF(ISNUMBER((('Resol  Asuntos'!D17/NºAsuntos!G17)-Datos!BF17)/Datos!BF17),(('Resol  Asuntos'!D17/NºAsuntos!G17)-Datos!BF17)/Datos!BF17," - ")</f>
        <v>-2.7526152767225663E-2</v>
      </c>
      <c r="K17" s="522">
        <f>IF(ISNUMBER((((NºAsuntos!C17+NºAsuntos!E17)/NºAsuntos!G17)-Datos!BG17)/Datos!BG17),(((NºAsuntos!C17+NºAsuntos!E17)/NºAsuntos!G17)-Datos!BG17)/Datos!BG17," - ")</f>
        <v>0.30341717523673634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0.20689655172413793</v>
      </c>
      <c r="C18" s="515">
        <f>IF(ISNUMBER(
   IF(D_I="SI",(Datos!J18-Datos!T18)/Datos!T18,(Datos!J18+Datos!AD18-(Datos!T18+Datos!AL18))/(Datos!T18+Datos!AL18))
     ),IF(D_I="SI",(Datos!J18-Datos!T18)/Datos!T18,(Datos!J18+Datos!AD18-(Datos!T18+Datos!AL18))/(Datos!T18+Datos!AL18))," - ")</f>
        <v>-0.60869565217391308</v>
      </c>
      <c r="D18" s="515">
        <f>IF(ISNUMBER(
   IF(D_I="SI",(Datos!K18-Datos!U18)/Datos!U18,(Datos!K18+Datos!AE18-(Datos!U18+Datos!AM18))/(Datos!U18+Datos!AM18))
     ),IF(D_I="SI",(Datos!K18-Datos!U18)/Datos!U18,(Datos!K18+Datos!AE18-(Datos!U18+Datos!AM18))/(Datos!U18+Datos!AM18))," - ")</f>
        <v>-0.64</v>
      </c>
      <c r="E18" s="515">
        <f>IF(ISNUMBER(
   IF(D_I="SI",(Datos!L18-Datos!V18)/Datos!V18,(Datos!L18+Datos!AF18-(Datos!V18+Datos!AN18))/(Datos!V18+Datos!AN18))
     ),IF(D_I="SI",(Datos!L18-Datos!V18)/Datos!V18,(Datos!L18+Datos!AF18-(Datos!V18+Datos!AN18))/(Datos!V18+Datos!AN18))," - ")</f>
        <v>0.18518518518518517</v>
      </c>
      <c r="F18" s="515">
        <f>IF(ISNUMBER((Datos!M18-Datos!W18)/Datos!W18),(Datos!M18-Datos!W18)/Datos!W18," - ")</f>
        <v>-1</v>
      </c>
      <c r="G18" s="516">
        <f>IF(ISNUMBER((Datos!N18-Datos!X18)/Datos!X18),(Datos!N18-Datos!X18)/Datos!X18," - ")</f>
        <v>0.15384615384615385</v>
      </c>
      <c r="H18" s="514">
        <f>IF(ISNUMBER(((NºAsuntos!G18/NºAsuntos!E18)-Datos!BD18)/Datos!BD18),((NºAsuntos!G18/NºAsuntos!E18)-Datos!BD18)/Datos!BD18," - ")</f>
        <v>-7.9999999999999946E-2</v>
      </c>
      <c r="I18" s="515">
        <f>IF(ISNUMBER(((NºAsuntos!I18/NºAsuntos!G18)-Datos!BE18)/Datos!BE18),((NºAsuntos!I18/NºAsuntos!G18)-Datos!BE18)/Datos!BE18," - ")</f>
        <v>2.2921810699588474</v>
      </c>
      <c r="J18" s="521">
        <f>IF(ISNUMBER((('Resol  Asuntos'!D18/NºAsuntos!G18)-Datos!BF18)/Datos!BF18),(('Resol  Asuntos'!D18/NºAsuntos!G18)-Datos!BF18)/Datos!BF18," - ")</f>
        <v>-1</v>
      </c>
      <c r="K18" s="522">
        <f>IF(ISNUMBER((((NºAsuntos!C18+NºAsuntos!E18)/NºAsuntos!G18)-Datos!BG18)/Datos!BG18),(((NºAsuntos!C18+NºAsuntos!E18)/NºAsuntos!G18)-Datos!BG18)/Datos!BG18," - ")</f>
        <v>1.3504273504273505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9.9715099715099717E-2</v>
      </c>
      <c r="C23" s="1152">
        <f>IF(ISNUMBER(
   IF(Criterios!B14="SI",(Datos!J23-Datos!T23)/Datos!T23,(Datos!J23+Datos!AD23-(Datos!T23+Datos!AL23))/(Datos!T23+Datos!AL23))
     ),IF(Criterios!B14="SI",(Datos!J23-Datos!T23)/Datos!T23,(Datos!J23+Datos!AD23-(Datos!T23+Datos!AL23))/(Datos!T23+Datos!AL23))," - ")</f>
        <v>-0.18</v>
      </c>
      <c r="D23" s="1152">
        <f>IF(ISNUMBER(
   IF(Criterios!B14="SI",(Datos!K23-Datos!U23)/Datos!U23,(Datos!K23+Datos!AE23-(Datos!U23+Datos!AM23))/(Datos!U23+Datos!AM23))
     ),IF(Criterios!B14="SI",(Datos!K23-Datos!U23)/Datos!U23,(Datos!K23+Datos!AE23-(Datos!U23+Datos!AM23))/(Datos!U23+Datos!AM23))," - ")</f>
        <v>-0.27536231884057971</v>
      </c>
      <c r="E23" s="1152">
        <f>IF(ISNUMBER(
   IF(Criterios!B14="SI",(Datos!L23-Datos!V23)/Datos!V23,(Datos!L23+Datos!AF23-(Datos!V23+Datos!AN23))/(Datos!V23+Datos!AN23))
     ),IF(Criterios!B14="SI",(Datos!L23-Datos!V23)/Datos!V23,(Datos!L23+Datos!AF23-(Datos!V23+Datos!AN23))/(Datos!V23+Datos!AN23))," - ")</f>
        <v>9.5846645367412137E-2</v>
      </c>
      <c r="F23" s="1153">
        <f>IF(ISNUMBER((Datos!M23-Datos!W23)/Datos!W23),(Datos!M23-Datos!W23)/Datos!W23," - ")</f>
        <v>-0.27777777777777779</v>
      </c>
      <c r="G23" s="1154">
        <f>IF(ISNUMBER((Datos!N23-Datos!X23)/Datos!X23),(Datos!N23-Datos!X23)/Datos!X23," - ")</f>
        <v>-0.28994082840236685</v>
      </c>
      <c r="H23" s="1154">
        <f>IF(ISNUMBER(((NºAsuntos!G23/NºAsuntos!E23)-Datos!BD23)/Datos!BD23),((NºAsuntos!G23/NºAsuntos!E23)-Datos!BD23)/Datos!BD23," - ")</f>
        <v>-0.11629551078119463</v>
      </c>
      <c r="I23" s="1154">
        <f>IF(ISNUMBER(((NºAsuntos!I23/NºAsuntos!G23)-Datos!BE23)/Datos!BE23),((NºAsuntos!I23/NºAsuntos!G23)-Datos!BE23)/Datos!BE23," - ")</f>
        <v>0.51226837060702879</v>
      </c>
      <c r="J23" s="1154">
        <f>IF(ISNUMBER((('Resol  Asuntos'!D23/NºAsuntos!G23)-Datos!BF23)/Datos!BF23),(('Resol  Asuntos'!D23/NºAsuntos!G23)-Datos!BF23)/Datos!BF23," - ")</f>
        <v>-3.3333333333333249E-3</v>
      </c>
      <c r="K23" s="1154">
        <f>IF(ISNUMBER((((NºAsuntos!C23+NºAsuntos!E23)/NºAsuntos!G23)-Datos!BG23)/Datos!BG23),(((NºAsuntos!C23+NºAsuntos!E23)/NºAsuntos!G23)-Datos!BG23)/Datos!BG23," - ")</f>
        <v>0.3397235023041475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0.10307234886025768</v>
      </c>
      <c r="C31" s="1092">
        <f>IF(ISNUMBER(
   IF(J_V="SI",(Datos!J31-Datos!T31)/Datos!T31,(Datos!J31+Datos!Z31-(Datos!T31+Datos!AH31))/(Datos!T31+Datos!AH31))
     ),IF(J_V="SI",(Datos!J31-Datos!T31)/Datos!T31,(Datos!J31+Datos!Z31-(Datos!T31+Datos!AH31))/(Datos!T31+Datos!AH31))," - ")</f>
        <v>-8.1967213114754103E-3</v>
      </c>
      <c r="D31" s="1092">
        <f>IF(ISNUMBER(
   IF(J_V="SI",(Datos!K31-Datos!U31)/Datos!U31,(Datos!K31+Datos!AA31-(Datos!U31+Datos!AI31))/(Datos!U31+Datos!AI31))
     ),IF(J_V="SI",(Datos!K31-Datos!U31)/Datos!U31,(Datos!K31+Datos!AA31-(Datos!U31+Datos!AI31))/(Datos!U31+Datos!AI31))," - ")</f>
        <v>-0.15868263473053892</v>
      </c>
      <c r="E31" s="1092">
        <f>IF(ISNUMBER(
   IF(J_V="SI",(Datos!L31-Datos!V31)/Datos!V31,(Datos!L31+Datos!AB31-(Datos!V31+Datos!AJ31))/(Datos!V31+Datos!AJ31))
     ),IF(J_V="SI",(Datos!L31-Datos!V31)/Datos!V31,(Datos!L31+Datos!AB31-(Datos!V31+Datos!AJ31))/(Datos!V31+Datos!AJ31))," - ")</f>
        <v>9.916492693110647E-2</v>
      </c>
      <c r="F31" s="1093">
        <f>IF(ISNUMBER((Datos!M31-Datos!W31)/Datos!W31),(Datos!M31-Datos!W31)/Datos!W31," - ")</f>
        <v>-0.10416666666666667</v>
      </c>
      <c r="G31" s="1094">
        <f>IF(ISNUMBER((Datos!N31-Datos!X31)/Datos!X31),(Datos!N31-Datos!X31)/Datos!X31," - ")</f>
        <v>-0.24468085106382978</v>
      </c>
      <c r="H31" s="1095">
        <f>IF(ISNUMBER((Tasas!B31-Datos!BD31)/Datos!BD31),(Tasas!B31-Datos!BD31)/Datos!BD31," - ")</f>
        <v>-0.15172959865393171</v>
      </c>
      <c r="I31" s="1096">
        <f>IF(ISNUMBER((Tasas!C31-Datos!BE31)/Datos!BE31),(Tasas!C31-Datos!BE31)/Datos!BE31," - ")</f>
        <v>0.30648073165476708</v>
      </c>
      <c r="J31" s="1097">
        <f>IF(ISNUMBER((Tasas!D31-Datos!BF31)/Datos!BF31),(Tasas!D31-Datos!BF31)/Datos!BF31," - ")</f>
        <v>-0.16667956057558408</v>
      </c>
      <c r="K31" s="1097">
        <f>IF(ISNUMBER((Tasas!E31-Datos!BG31)/Datos!BG31),(Tasas!E31-Datos!BG31)/Datos!BG31," - ")</f>
        <v>0.26129437133329958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L+sWyfk6JNSnD69A5IItm3Go2cOFVgLRtOy2E0OnuXXVmSJlLDq9DTPl3GqtZBSFmhmGo8X0Xbk7PpVJnvq5g==" saltValue="TK9vc3E/11G4kv3z6jtMc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CALDAS DE REIS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0.87150837988826813</v>
      </c>
      <c r="C12" s="498">
        <f>IF(ISNUMBER(NºAsuntos!I12/NºAsuntos!G12),NºAsuntos!I12/NºAsuntos!G12," - ")</f>
        <v>2.2307692307692308</v>
      </c>
      <c r="D12" s="499">
        <f>IF(ISNUMBER('Resol  Asuntos'!D12/NºAsuntos!G12),'Resol  Asuntos'!D12/NºAsuntos!G12," - ")</f>
        <v>0.24679487179487181</v>
      </c>
      <c r="E12" s="500">
        <f>IF(ISNUMBER((NºAsuntos!C12+NºAsuntos!E12)/NºAsuntos!G12),(NºAsuntos!C12+NºAsuntos!E12)/NºAsuntos!G12," - ")</f>
        <v>3.4262820512820511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0.86908077994428967</v>
      </c>
      <c r="C14" s="1156">
        <f>IF(ISNUMBER(NºAsuntos!I14/NºAsuntos!G14),NºAsuntos!I14/NºAsuntos!G14," - ")</f>
        <v>2.2756410256410255</v>
      </c>
      <c r="D14" s="1157">
        <f>IF(ISNUMBER('Resol  Asuntos'!D14/NºAsuntos!G14),'Resol  Asuntos'!D14/NºAsuntos!G14," - ")</f>
        <v>0.24679487179487181</v>
      </c>
      <c r="E14" s="1158">
        <f>IF(ISNUMBER((NºAsuntos!C14+NºAsuntos!E14)/NºAsuntos!G14),(NºAsuntos!C14+NºAsuntos!E14)/NºAsuntos!G14," - ")</f>
        <v>3.4807692307692308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1.0168776371308017</v>
      </c>
      <c r="C17" s="498">
        <f>IF(ISNUMBER(NºAsuntos!I17/NºAsuntos!G17),NºAsuntos!I17/NºAsuntos!G17," - ")</f>
        <v>1.2904564315352698</v>
      </c>
      <c r="D17" s="499">
        <f>IF(ISNUMBER('Resol  Asuntos'!D17/NºAsuntos!G17),'Resol  Asuntos'!D17/NºAsuntos!G17," - ")</f>
        <v>0.21576763485477179</v>
      </c>
      <c r="E17" s="500">
        <f>IF(ISNUMBER((NºAsuntos!C17+NºAsuntos!E17)/NºAsuntos!G17),(NºAsuntos!C17+NºAsuntos!E17)/NºAsuntos!G17," - ")</f>
        <v>2.4398340248962658</v>
      </c>
      <c r="G17" s="523"/>
    </row>
    <row r="18" spans="1:7">
      <c r="A18" s="450" t="str">
        <f>Datos!A18</f>
        <v>Jdos. Violencia contra la mujer</v>
      </c>
      <c r="B18" s="497">
        <f>IF(ISNUMBER(NºAsuntos!G18/NºAsuntos!E18),NºAsuntos!G18/NºAsuntos!E18," - ")</f>
        <v>1</v>
      </c>
      <c r="C18" s="498">
        <f>IF(ISNUMBER(NºAsuntos!I18/NºAsuntos!G18),NºAsuntos!I18/NºAsuntos!G18," - ")</f>
        <v>3.5555555555555554</v>
      </c>
      <c r="D18" s="499">
        <f>IF(ISNUMBER('Resol  Asuntos'!D18/NºAsuntos!G18),'Resol  Asuntos'!D18/NºAsuntos!G18," - ")</f>
        <v>0</v>
      </c>
      <c r="E18" s="500">
        <f>IF(ISNUMBER((NºAsuntos!C18+NºAsuntos!E18)/NºAsuntos!G18),(NºAsuntos!C18+NºAsuntos!E18)/NºAsuntos!G18," - ")</f>
        <v>4.8888888888888893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1.0162601626016261</v>
      </c>
      <c r="C23" s="1156">
        <f>IF(ISNUMBER(NºAsuntos!I23/NºAsuntos!G23),NºAsuntos!I23/NºAsuntos!G23," - ")</f>
        <v>1.3720000000000001</v>
      </c>
      <c r="D23" s="1159">
        <f>IF(ISNUMBER('Resol  Asuntos'!D23/NºAsuntos!G23),'Resol  Asuntos'!D23/NºAsuntos!G23," - ")</f>
        <v>0.20799999999999999</v>
      </c>
      <c r="E23" s="1158">
        <f>IF(ISNUMBER((NºAsuntos!C23+NºAsuntos!E23)/NºAsuntos!G23),(NºAsuntos!C23+NºAsuntos!E23)/NºAsuntos!G23," - ")</f>
        <v>2.528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0.92892561983471078</v>
      </c>
      <c r="C31" s="1099">
        <f>IF(ISNUMBER(NºAsuntos!I31/NºAsuntos!G31),NºAsuntos!I31/NºAsuntos!G31," - ")</f>
        <v>1.8736654804270463</v>
      </c>
      <c r="D31" s="1100">
        <f>IF(ISNUMBER('Resol  Asuntos'!D31/NºAsuntos!G31),'Resol  Asuntos'!D31/NºAsuntos!G31," - ")</f>
        <v>0.22953736654804271</v>
      </c>
      <c r="E31" s="1101">
        <f>IF(ISNUMBER((NºAsuntos!C31+NºAsuntos!E31)/NºAsuntos!G31),(NºAsuntos!C31+NºAsuntos!E31)/NºAsuntos!G31," - ")</f>
        <v>3.0569395017793592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MVPLMxU7HlS4emtmsw75CC63MSJ/nY1IVFBou/F48xECjJxd2Z87fBOYAyH4tz77FUAj7RjNFDyFiGFMlilCQ==" saltValue="FLmsmce5M7VVJQTJEkMN9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CALDAS DE REIS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16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14</v>
      </c>
      <c r="AB10" s="374">
        <f>IF(ISNUMBER(Datos!R10),Datos!R10," - ")</f>
        <v>0</v>
      </c>
      <c r="AC10" s="374">
        <f t="shared" ref="AC10:AC13" si="1">IF(ISNUMBER(AA10+AB10),AA10+AB10," - ")</f>
        <v>14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56</v>
      </c>
      <c r="Y12" s="374">
        <f t="shared" si="0"/>
        <v>56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1254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77</v>
      </c>
      <c r="AJ12" s="243" t="str">
        <f>IF(ISNUMBER(Datos!BW12),Datos!BW12," - ")</f>
        <v xml:space="preserve"> - </v>
      </c>
      <c r="AK12" s="242" t="str">
        <f>IF(ISNUMBER(Datos!BX12),Datos!BX12," - ")</f>
        <v xml:space="preserve"> - </v>
      </c>
      <c r="AL12" s="266">
        <f>IF(ISNUMBER(NºAsuntos!G12/NºAsuntos!E12),NºAsuntos!G12/NºAsuntos!E12," - ")</f>
        <v>0.87150837988826813</v>
      </c>
      <c r="AM12" s="284">
        <f>IF(ISNUMBER(((NºAsuntos!I12/NºAsuntos!G12)*11)/factor_trimestre),((NºAsuntos!I12/NºAsuntos!G12)*11)/factor_trimestre," - ")</f>
        <v>6.6923076923076934</v>
      </c>
      <c r="AN12" s="267">
        <f>IF(ISNUMBER('Resol  Asuntos'!D12/NºAsuntos!G12),'Resol  Asuntos'!D12/NºAsuntos!G12," - ")</f>
        <v>0.24679487179487181</v>
      </c>
      <c r="AO12" s="268">
        <f>IF(ISNUMBER((NºAsuntos!C12+NºAsuntos!E12)/NºAsuntos!G12),(NºAsuntos!C12+NºAsuntos!E12)/NºAsuntos!G12," - ")</f>
        <v>3.4262820512820511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13</v>
      </c>
      <c r="G14" s="1163">
        <f t="shared" si="5"/>
        <v>16</v>
      </c>
      <c r="H14" s="1162">
        <f t="shared" si="5"/>
        <v>0</v>
      </c>
      <c r="I14" s="1164">
        <f t="shared" si="5"/>
        <v>0</v>
      </c>
      <c r="J14" s="1164">
        <f t="shared" si="5"/>
        <v>0</v>
      </c>
      <c r="K14" s="1164">
        <f t="shared" si="5"/>
        <v>0</v>
      </c>
      <c r="L14" s="1164">
        <f t="shared" si="5"/>
        <v>84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56</v>
      </c>
      <c r="Y14" s="1165">
        <f t="shared" si="6"/>
        <v>56</v>
      </c>
      <c r="Z14" s="1165">
        <f t="shared" si="6"/>
        <v>0</v>
      </c>
      <c r="AA14" s="1165">
        <f t="shared" si="6"/>
        <v>14</v>
      </c>
      <c r="AB14" s="1165">
        <f t="shared" si="6"/>
        <v>1254</v>
      </c>
      <c r="AC14" s="1165">
        <f t="shared" si="6"/>
        <v>14</v>
      </c>
      <c r="AD14" s="1165">
        <f t="shared" si="6"/>
        <v>0</v>
      </c>
      <c r="AE14" s="1169">
        <f t="shared" si="6"/>
        <v>0</v>
      </c>
      <c r="AF14" s="1162">
        <f t="shared" si="6"/>
        <v>0</v>
      </c>
      <c r="AG14" s="1170">
        <f t="shared" si="6"/>
        <v>0</v>
      </c>
      <c r="AH14" s="1167">
        <f t="shared" si="6"/>
        <v>0</v>
      </c>
      <c r="AI14" s="1162">
        <f t="shared" si="6"/>
        <v>77</v>
      </c>
      <c r="AJ14" s="1164">
        <f t="shared" si="6"/>
        <v>0</v>
      </c>
      <c r="AK14" s="1167">
        <f>SUBTOTAL(9,AK9:AK13)</f>
        <v>0</v>
      </c>
      <c r="AL14" s="1171">
        <f>IF(ISNUMBER(NºAsuntos!G14/NºAsuntos!E14),NºAsuntos!G14/NºAsuntos!E14," - ")</f>
        <v>0.86908077994428967</v>
      </c>
      <c r="AM14" s="1171">
        <f>IF(ISNUMBER(((NºAsuntos!I14/NºAsuntos!G14)*11)/factor_trimestre),((NºAsuntos!I14/NºAsuntos!G14)*11)/factor_trimestre," - ")</f>
        <v>6.8269230769230766</v>
      </c>
      <c r="AN14" s="1172">
        <f>IF(ISNUMBER('Resol  Asuntos'!D14/NºAsuntos!G14),'Resol  Asuntos'!D14/NºAsuntos!G14," - ")</f>
        <v>0.24679487179487181</v>
      </c>
      <c r="AO14" s="1173">
        <f>IF(ISNUMBER((NºAsuntos!C14+NºAsuntos!E14)/NºAsuntos!G14),(NºAsuntos!C14+NºAsuntos!E14)/NºAsuntos!G14," - ")</f>
        <v>3.4807692307692308</v>
      </c>
      <c r="AP14" s="1174" t="str">
        <f t="shared" si="2"/>
        <v xml:space="preserve"> - </v>
      </c>
      <c r="AQ14" s="1174">
        <f>IF(ISNUMBER((H14-W14+K14)/(F14)),(H14-W14+K14)/(F14)," - ")</f>
        <v>0</v>
      </c>
      <c r="AR14" s="1175">
        <f>IF(ISNUMBER((Datos!P14-Datos!Q14)/(Datos!R14-Datos!P14+Datos!Q14)),(Datos!P14-Datos!Q14)/(Datos!R14-Datos!P14+Datos!Q14)," - ")</f>
        <v>2.2838499184339316E-2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315</v>
      </c>
      <c r="G17" s="373">
        <f>IF(ISNUMBER(IF(D_I="SI",Datos!I17,Datos!I17+Datos!AC17)),IF(D_I="SI",Datos!I17,Datos!I17+Datos!AC17)," - ")</f>
        <v>351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241</v>
      </c>
      <c r="X17" s="240">
        <f>IF(ISNUMBER(Datos!Q17),Datos!Q17," - ")</f>
        <v>2</v>
      </c>
      <c r="Y17" s="374">
        <f t="shared" ref="Y17:Y22" si="9">SUM(W17:X17)</f>
        <v>243</v>
      </c>
      <c r="Z17" s="375" t="str">
        <f>IF(ISNUMBER(Datos!CC17),Datos!CC17," - ")</f>
        <v xml:space="preserve"> - </v>
      </c>
      <c r="AA17" s="372">
        <f>IF(ISNUMBER(IF(D_I="SI",Datos!L17,Datos!L17+Datos!AF17)),IF(D_I="SI",Datos!L17,Datos!L17+Datos!AF17)," - ")</f>
        <v>311</v>
      </c>
      <c r="AB17" s="374">
        <f>IF(ISNUMBER(Datos!R17),Datos!R17," - ")</f>
        <v>47</v>
      </c>
      <c r="AC17" s="374">
        <f t="shared" si="8"/>
        <v>358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52</v>
      </c>
      <c r="AJ17" s="245" t="str">
        <f>IF(ISNUMBER(Datos!BW17),Datos!BW17," - ")</f>
        <v xml:space="preserve"> - </v>
      </c>
      <c r="AK17" s="246" t="str">
        <f>IF(ISNUMBER(Datos!BX17),Datos!BX17," - ")</f>
        <v xml:space="preserve"> - </v>
      </c>
      <c r="AL17" s="266">
        <f>IF(ISNUMBER(NºAsuntos!G17/NºAsuntos!E17),NºAsuntos!G17/NºAsuntos!E17," - ")</f>
        <v>1.0168776371308017</v>
      </c>
      <c r="AM17" s="284">
        <f>IF(ISNUMBER(((NºAsuntos!I17/NºAsuntos!G17)*11)/factor_trimestre),((NºAsuntos!I17/NºAsuntos!G17)*11)/factor_trimestre," - ")</f>
        <v>3.8713692946058096</v>
      </c>
      <c r="AN17" s="267">
        <f>IF(ISNUMBER('Resol  Asuntos'!D17/NºAsuntos!G17),'Resol  Asuntos'!D17/NºAsuntos!G17," - ")</f>
        <v>0.21576763485477179</v>
      </c>
      <c r="AO17" s="268">
        <f>IF(ISNUMBER((NºAsuntos!C17+NºAsuntos!E17)/NºAsuntos!G17),(NºAsuntos!C17+NºAsuntos!E17)/NºAsuntos!G17," - ")</f>
        <v>2.4398340248962658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v>
      </c>
      <c r="X18" s="240">
        <f>IF(ISNUMBER(Datos!Q18),Datos!Q18," - ")</f>
        <v>0</v>
      </c>
      <c r="Y18" s="374">
        <f t="shared" si="9"/>
        <v>9</v>
      </c>
      <c r="Z18" s="375" t="str">
        <f>IF(ISNUMBER(Datos!CC18),Datos!CC18," - ")</f>
        <v xml:space="preserve"> - </v>
      </c>
      <c r="AA18" s="372">
        <f>IF(ISNUMBER(Datos!L18),Datos!L18,"-")</f>
        <v>32</v>
      </c>
      <c r="AB18" s="374">
        <f>IF(ISNUMBER(Datos!R18),Datos!R18," - ")</f>
        <v>1</v>
      </c>
      <c r="AC18" s="374">
        <f t="shared" si="8"/>
        <v>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10.666666666666666</v>
      </c>
      <c r="AN18" s="267">
        <f>IF(ISNUMBER('Resol  Asuntos'!D18/NºAsuntos!G18),'Resol  Asuntos'!D18/NºAsuntos!G18," - ")</f>
        <v>0</v>
      </c>
      <c r="AO18" s="268">
        <f>IF(ISNUMBER((NºAsuntos!C18+NºAsuntos!E18)/NºAsuntos!G18),(NºAsuntos!C18+NºAsuntos!E18)/NºAsuntos!G18," - ")</f>
        <v>4.8888888888888893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315</v>
      </c>
      <c r="G23" s="1163">
        <f>SUBTOTAL(9,G16:G22)</f>
        <v>386</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250</v>
      </c>
      <c r="X23" s="1164">
        <f t="shared" si="14"/>
        <v>2</v>
      </c>
      <c r="Y23" s="1165">
        <f t="shared" si="14"/>
        <v>252</v>
      </c>
      <c r="Z23" s="1165">
        <f t="shared" si="14"/>
        <v>0</v>
      </c>
      <c r="AA23" s="1165">
        <f t="shared" si="14"/>
        <v>343</v>
      </c>
      <c r="AB23" s="1165">
        <f t="shared" si="14"/>
        <v>48</v>
      </c>
      <c r="AC23" s="1165">
        <f t="shared" si="14"/>
        <v>391</v>
      </c>
      <c r="AD23" s="1165">
        <f t="shared" si="14"/>
        <v>0</v>
      </c>
      <c r="AE23" s="1169">
        <f t="shared" si="14"/>
        <v>0</v>
      </c>
      <c r="AF23" s="1162">
        <f t="shared" si="14"/>
        <v>0</v>
      </c>
      <c r="AG23" s="1170">
        <f t="shared" si="14"/>
        <v>0</v>
      </c>
      <c r="AH23" s="1167">
        <f t="shared" si="14"/>
        <v>0</v>
      </c>
      <c r="AI23" s="1162">
        <f t="shared" si="14"/>
        <v>52</v>
      </c>
      <c r="AJ23" s="1164">
        <f t="shared" si="14"/>
        <v>0</v>
      </c>
      <c r="AK23" s="1167">
        <f t="shared" si="14"/>
        <v>0</v>
      </c>
      <c r="AL23" s="1171">
        <f>IF(ISNUMBER(NºAsuntos!G23/NºAsuntos!E23),NºAsuntos!G23/NºAsuntos!E23," - ")</f>
        <v>1.0162601626016261</v>
      </c>
      <c r="AM23" s="1171">
        <f>IF(ISNUMBER(((NºAsuntos!I23/NºAsuntos!G23)*11)/factor_trimestre),((NºAsuntos!I23/NºAsuntos!G23)*11)/factor_trimestre," - ")</f>
        <v>4.1160000000000005</v>
      </c>
      <c r="AN23" s="1172">
        <f>IF(ISNUMBER('Resol  Asuntos'!D23/NºAsuntos!G23),'Resol  Asuntos'!D23/NºAsuntos!G23," - ")</f>
        <v>0.20799999999999999</v>
      </c>
      <c r="AO23" s="1173">
        <f>IF(ISNUMBER((NºAsuntos!C23+NºAsuntos!E23)/NºAsuntos!G23),(NºAsuntos!C23+NºAsuntos!E23)/NºAsuntos!G23," - ")</f>
        <v>2.528</v>
      </c>
      <c r="AP23" s="1174" t="str">
        <f t="shared" si="2"/>
        <v xml:space="preserve"> - </v>
      </c>
      <c r="AQ23" s="1174">
        <f>IF(ISNUMBER((H23-W23+K23)/(F23)),(H23-W23+K23)/(F23)," - ")</f>
        <v>-0.79365079365079361</v>
      </c>
      <c r="AR23" s="1175">
        <f>IF(ISNUMBER((Datos!P23-Datos!Q23)/(Datos!R23-Datos!P23+Datos!Q23)),(Datos!P23-Datos!Q23)/(Datos!R23-Datos!P23+Datos!Q23)," - ")</f>
        <v>0.17073170731707318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328</v>
      </c>
      <c r="G31" s="1118">
        <f t="shared" si="20"/>
        <v>402</v>
      </c>
      <c r="H31" s="1117">
        <f t="shared" si="20"/>
        <v>0</v>
      </c>
      <c r="I31" s="1119">
        <f t="shared" si="20"/>
        <v>0</v>
      </c>
      <c r="J31" s="1119">
        <f t="shared" si="20"/>
        <v>0</v>
      </c>
      <c r="K31" s="1180">
        <f t="shared" si="20"/>
        <v>0</v>
      </c>
      <c r="L31" s="1119">
        <f t="shared" si="20"/>
        <v>93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250</v>
      </c>
      <c r="X31" s="1118">
        <f t="shared" si="21"/>
        <v>58</v>
      </c>
      <c r="Y31" s="1125">
        <f t="shared" si="21"/>
        <v>308</v>
      </c>
      <c r="Z31" s="1125">
        <f t="shared" si="21"/>
        <v>0</v>
      </c>
      <c r="AA31" s="1125">
        <f t="shared" si="21"/>
        <v>357</v>
      </c>
      <c r="AB31" s="1125">
        <f t="shared" si="21"/>
        <v>1302</v>
      </c>
      <c r="AC31" s="1125">
        <f t="shared" si="21"/>
        <v>405</v>
      </c>
      <c r="AD31" s="1125">
        <f t="shared" si="21"/>
        <v>0</v>
      </c>
      <c r="AE31" s="1127">
        <f t="shared" si="21"/>
        <v>0</v>
      </c>
      <c r="AF31" s="1128">
        <f t="shared" si="21"/>
        <v>0</v>
      </c>
      <c r="AG31" s="1129">
        <f t="shared" si="21"/>
        <v>0</v>
      </c>
      <c r="AH31" s="1127">
        <f t="shared" si="21"/>
        <v>0</v>
      </c>
      <c r="AI31" s="1117">
        <f t="shared" si="21"/>
        <v>129</v>
      </c>
      <c r="AJ31" s="1117">
        <f t="shared" si="21"/>
        <v>0</v>
      </c>
      <c r="AK31" s="1127">
        <f t="shared" si="21"/>
        <v>0</v>
      </c>
      <c r="AL31" s="1183">
        <f>IF(ISNUMBER(NºAsuntos!G31/NºAsuntos!E31),NºAsuntos!G31/NºAsuntos!E31," - ")</f>
        <v>0.92892561983471078</v>
      </c>
      <c r="AM31" s="1184">
        <f>IF(ISNUMBER(((NºAsuntos!I31/NºAsuntos!G31)*11)/factor_trimestre),((NºAsuntos!I31/NºAsuntos!G31)*11)/factor_trimestre," - ")</f>
        <v>5.6209964412811386</v>
      </c>
      <c r="AN31" s="1184">
        <f>IF(ISNUMBER('Resol  Asuntos'!D31/NºAsuntos!G31),'Resol  Asuntos'!D31/NºAsuntos!G31," - ")</f>
        <v>0.22953736654804271</v>
      </c>
      <c r="AO31" s="1185">
        <f>IF(ISNUMBER((NºAsuntos!C31+NºAsuntos!E31)/NºAsuntos!G31),(NºAsuntos!C31+NºAsuntos!E31)/NºAsuntos!G31," - ")</f>
        <v>3.0569395017793592</v>
      </c>
      <c r="AP31" s="1186" t="str">
        <f t="shared" si="2"/>
        <v xml:space="preserve"> - </v>
      </c>
      <c r="AQ31" s="1187">
        <f>IF(OR(ISNUMBER(FIND("01",Criterios!A8,1)),ISNUMBER(FIND("02",Criterios!A8,1)),ISNUMBER(FIND("03",Criterios!A8,1)),ISNUMBER(FIND("04",Criterios!A8,1))),(I31-W31+K31)/(F31-K31),(H31-W31+K31)/(F31-K31))</f>
        <v>-0.76219512195121952</v>
      </c>
      <c r="AR31" s="1188">
        <f>IF(ISNUMBER((Datos!P31-Datos!Q31)/(Datos!R31-Datos!P31+Datos!Q31)),(Datos!P31-Datos!Q31)/(Datos!R31-Datos!P31+Datos!Q31)," - ")</f>
        <v>2.7624309392265192E-2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114.85714285714286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159.41476301355112</v>
      </c>
      <c r="G33" s="277">
        <f>IF(ISNUMBER(STDEV(G8:G30)),STDEV(G8:G30),"-")</f>
        <v>173.96784048728526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118.98719418892263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35.74812682405291</v>
      </c>
      <c r="AJ33" s="276">
        <f t="shared" si="25"/>
        <v>0</v>
      </c>
      <c r="AK33" s="278">
        <f t="shared" si="25"/>
        <v>0</v>
      </c>
      <c r="AL33" s="273">
        <f t="shared" si="25"/>
        <v>0.39587243514182568</v>
      </c>
      <c r="AM33" s="274">
        <f t="shared" si="25"/>
        <v>2.7421149008255781</v>
      </c>
      <c r="AN33" s="274">
        <f t="shared" si="25"/>
        <v>0.1040747060793325</v>
      </c>
      <c r="AO33" s="275">
        <f t="shared" si="25"/>
        <v>0.98680630216266296</v>
      </c>
      <c r="AP33" s="317" t="str">
        <f t="shared" si="25"/>
        <v>-</v>
      </c>
      <c r="AQ33" s="318">
        <f t="shared" si="25"/>
        <v>0.56119585808456152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1hu2o+mGR+IS7YPXzL0/P8w0rL6m4KDeI0AEUtO6BvWWvX8GQnbAAfuiXzAv0l3clEAFFtuqH6Qm7Mjkezpa9A==" saltValue="K9Bg1pgIO+8biANTgHI+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CALDAS DE REIS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1.6666666666666667</v>
      </c>
      <c r="E10" s="393">
        <f>IF(ISNUMBER((Datos!J10-Datos!T10)/Datos!T10),(Datos!J10-Datos!T10)/Datos!T10," - ")</f>
        <v>-0.5</v>
      </c>
      <c r="F10" s="393">
        <f>IF(ISNUMBER((Datos!K10-Datos!U10)/Datos!U10),(Datos!K10-Datos!U10)/Datos!U10," - ")</f>
        <v>-1</v>
      </c>
      <c r="G10" s="394">
        <f>IF(ISNUMBER((Datos!L10-Datos!V10)/Datos!V10),(Datos!L10-Datos!V10)/Datos!V10," - ")</f>
        <v>1.3333333333333333</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6.9444444444444448E-2</v>
      </c>
      <c r="I12" s="395">
        <f>IF(ISNUMBER((Tasas!C12-Datos!BE12)/Datos!BE12),(Tasas!C12-Datos!BE12)/Datos!BE12," - ")</f>
        <v>0.12062116287468397</v>
      </c>
      <c r="J12" s="394">
        <f>IF(ISNUMBER((Tasas!D12-Datos!BF12)/Datos!BF12),(Tasas!D12-Datos!BF12)/Datos!BF12," - ")</f>
        <v>-0.29266826923076916</v>
      </c>
      <c r="K12" s="396">
        <f>IF(ISNUMBER((Tasas!E12-Datos!BG12)/Datos!BG12),(Tasas!E12-Datos!BG12)/Datos!BG12," - ")</f>
        <v>0.14566306089743589</v>
      </c>
      <c r="M12" t="e">
        <f>IF(Monitorios="SI",Datos!CE12,0)</f>
        <v>#REF!</v>
      </c>
      <c r="N12" t="e">
        <f>IF(Monitorios="SI",Datos!CF12,0)</f>
        <v>#REF!</v>
      </c>
      <c r="O12" t="e">
        <f>IF(Monitorios="SI",Datos!CG12,0)</f>
        <v>#REF!</v>
      </c>
      <c r="P12" t="e">
        <f>IF(Monitorios="SI",Datos!CH12,0)</f>
        <v>#REF!</v>
      </c>
      <c r="Q12">
        <f>IF(J_V="SI",0,Datos!AG12)</f>
        <v>70</v>
      </c>
      <c r="R12">
        <f>IF(J_V="SI",0,Datos!AH12)</f>
        <v>41</v>
      </c>
      <c r="S12">
        <f>IF(J_V="SI",0,Datos!AI12)</f>
        <v>40</v>
      </c>
      <c r="T12">
        <f>IF(J_V="SI",0,Datos!AJ12)</f>
        <v>71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6.9444444444444448E-2</v>
      </c>
      <c r="I14" s="402">
        <f>IF(ISNUMBER((Tasas!C14-Datos!BE14)/Datos!BE14),(Tasas!C14-Datos!BE14)/Datos!BE14," - ")</f>
        <v>0.13958457563108723</v>
      </c>
      <c r="J14" s="400">
        <f>IF(ISNUMBER((Tasas!D14-Datos!BF14)/Datos!BF14),(Tasas!D14-Datos!BF14)/Datos!BF14," - ")</f>
        <v>-0.28826121794871795</v>
      </c>
      <c r="K14" s="403">
        <f>IF(ISNUMBER((Tasas!E14-Datos!BG14)/Datos!BG14),(Tasas!E14-Datos!BG14)/Datos!BG14," - ")</f>
        <v>0.16145502225047684</v>
      </c>
      <c r="M14" t="e">
        <f>IF(Monitorios="SI",Datos!CE14,0)</f>
        <v>#REF!</v>
      </c>
      <c r="N14" t="e">
        <f>IF(Monitorios="SI",Datos!CF14,0)</f>
        <v>#REF!</v>
      </c>
      <c r="O14" t="e">
        <f>IF(Monitorios="SI",Datos!CG14,0)</f>
        <v>#REF!</v>
      </c>
      <c r="P14" t="e">
        <f>IF(Monitorios="SI",Datos!CH14,0)</f>
        <v>#REF!</v>
      </c>
      <c r="Q14">
        <f>IF(J_V="SI",0,Datos!AG14)</f>
        <v>70</v>
      </c>
      <c r="R14">
        <f>IF(J_V="SI",0,Datos!AH14)</f>
        <v>41</v>
      </c>
      <c r="S14">
        <f>IF(J_V="SI",0,Datos!AI14)</f>
        <v>40</v>
      </c>
      <c r="T14">
        <f>IF(J_V="SI",0,Datos!AJ14)</f>
        <v>71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9.0062111801242239E-2</v>
      </c>
      <c r="E17" s="393">
        <f>IF(ISNUMBER(
   IF(D_I="SI",(Datos!J17-Datos!T17)/Datos!T17,(Datos!J17+Datos!AD17-(Datos!T17+Datos!AL17))/(Datos!T17+Datos!AL17))
     ),IF(D_I="SI",(Datos!J17-Datos!T17)/Datos!T17,(Datos!J17+Datos!AD17-(Datos!T17+Datos!AL17))/(Datos!T17+Datos!AL17))," - ")</f>
        <v>-0.1444043321299639</v>
      </c>
      <c r="F17" s="393">
        <f>IF(ISNUMBER(
   IF(D_I="SI",(Datos!K17-Datos!U17)/Datos!U17,(Datos!K17+Datos!AE17-(Datos!U17+Datos!AM17))/(Datos!U17+Datos!AM17))
     ),IF(D_I="SI",(Datos!K17-Datos!U17)/Datos!U17,(Datos!K17+Datos!AE17-(Datos!U17+Datos!AM17))/(Datos!U17+Datos!AM17))," - ")</f>
        <v>-0.24687500000000001</v>
      </c>
      <c r="G17" s="394">
        <f>IF(ISNUMBER(
   IF(D_I="SI",(Datos!L17-Datos!V17)/Datos!V17,(Datos!L17+Datos!AF17-(Datos!V17+Datos!AN17))/(Datos!V17+Datos!AN17))
     ),IF(D_I="SI",(Datos!L17-Datos!V17)/Datos!V17,(Datos!L17+Datos!AF17-(Datos!V17+Datos!AN17))/(Datos!V17+Datos!AN17))," - ")</f>
        <v>8.7412587412587409E-2</v>
      </c>
      <c r="H17" s="244">
        <f>IF(ISNUMBER((Datos!M17-Datos!W17)/Datos!W17),(Datos!M17-Datos!W17)/Datos!W17," - ")</f>
        <v>-0.26760563380281688</v>
      </c>
      <c r="I17" s="395">
        <f>IF(ISNUMBER((Tasas!C17-Datos!BE17)/Datos!BE17),(Tasas!C17-Datos!BE17)/Datos!BE17," - ")</f>
        <v>0.44386733598351857</v>
      </c>
      <c r="J17" s="394">
        <f>IF(ISNUMBER((Tasas!D17-Datos!BF17)/Datos!BF17),(Tasas!D17-Datos!BF17)/Datos!BF17," - ")</f>
        <v>-2.7526152767225663E-2</v>
      </c>
      <c r="K17" s="396">
        <f>IF(ISNUMBER((Tasas!E17-Datos!BG17)/Datos!BG17),(Tasas!E17-Datos!BG17)/Datos!BG17," - ")</f>
        <v>0.30341717523673634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0.20689655172413793</v>
      </c>
      <c r="E18" s="393">
        <f>IF(ISNUMBER(
   IF(D_I="SI",(Datos!J18-Datos!T18)/Datos!T18,(Datos!J18+Datos!AD18-(Datos!T18+Datos!AL18))/(Datos!T18+Datos!AL18))
     ),IF(D_I="SI",(Datos!J18-Datos!T18)/Datos!T18,(Datos!J18+Datos!AD18-(Datos!T18+Datos!AL18))/(Datos!T18+Datos!AL18))," - ")</f>
        <v>-0.60869565217391308</v>
      </c>
      <c r="F18" s="393">
        <f>IF(ISNUMBER(
   IF(D_I="SI",(Datos!K18-Datos!U18)/Datos!U18,(Datos!K18+Datos!AE18-(Datos!U18+Datos!AM18))/(Datos!U18+Datos!AM18))
     ),IF(D_I="SI",(Datos!K18-Datos!U18)/Datos!U18,(Datos!K18+Datos!AE18-(Datos!U18+Datos!AM18))/(Datos!U18+Datos!AM18))," - ")</f>
        <v>-0.64</v>
      </c>
      <c r="G18" s="394">
        <f>IF(ISNUMBER(
   IF(D_I="SI",(Datos!L18-Datos!V18)/Datos!V18,(Datos!L18+Datos!AF18-(Datos!V18+Datos!AN18))/(Datos!V18+Datos!AN18))
     ),IF(D_I="SI",(Datos!L18-Datos!V18)/Datos!V18,(Datos!L18+Datos!AF18-(Datos!V18+Datos!AN18))/(Datos!V18+Datos!AN18))," - ")</f>
        <v>0.18518518518518517</v>
      </c>
      <c r="H18" s="244">
        <f>IF(ISNUMBER((Datos!M18-Datos!W18)/Datos!W18),(Datos!M18-Datos!W18)/Datos!W18," - ")</f>
        <v>-1</v>
      </c>
      <c r="I18" s="395">
        <f>IF(ISNUMBER((Tasas!C18-Datos!BE18)/Datos!BE18),(Tasas!C18-Datos!BE18)/Datos!BE18," - ")</f>
        <v>2.2921810699588474</v>
      </c>
      <c r="J18" s="394">
        <f>IF(ISNUMBER((Tasas!D18-Datos!BF18)/Datos!BF18),(Tasas!D18-Datos!BF18)/Datos!BF18," - ")</f>
        <v>-1</v>
      </c>
      <c r="K18" s="396">
        <f>IF(ISNUMBER((Tasas!E18-Datos!BG18)/Datos!BG18),(Tasas!E18-Datos!BG18)/Datos!BG18," - ")</f>
        <v>1.3504273504273505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9.9715099715099717E-2</v>
      </c>
      <c r="E23" s="399">
        <f>IF(ISNUMBER(
   IF(D_I="SI",(Datos!J23-Datos!T23)/Datos!T23,(Datos!J23+Datos!AD23-(Datos!T23+Datos!AL23))/(Datos!T23+Datos!AL23))
     ),IF(D_I="SI",(Datos!J23-Datos!T23)/Datos!T23,(Datos!J23+Datos!AD23-(Datos!T23+Datos!AL23))/(Datos!T23+Datos!AL23))," - ")</f>
        <v>-0.18</v>
      </c>
      <c r="F23" s="399">
        <f>IF(ISNUMBER(
   IF(D_I="SI",(Datos!K23-Datos!U23)/Datos!U23,(Datos!K23+Datos!AE23-(Datos!U23+Datos!AM23))/(Datos!U23+Datos!AM23))
     ),IF(D_I="SI",(Datos!K23-Datos!U23)/Datos!U23,(Datos!K23+Datos!AE23-(Datos!U23+Datos!AM23))/(Datos!U23+Datos!AM23))," - ")</f>
        <v>-0.27536231884057971</v>
      </c>
      <c r="G23" s="400">
        <f>IF(ISNUMBER(
   IF(D_I="SI",(Datos!L23-Datos!V23)/Datos!V23,(Datos!L23+Datos!AF23-(Datos!V23+Datos!AN23))/(Datos!V23+Datos!AN23))
     ),IF(D_I="SI",(Datos!L23-Datos!V23)/Datos!V23,(Datos!L23+Datos!AF23-(Datos!V23+Datos!AN23))/(Datos!V23+Datos!AN23))," - ")</f>
        <v>9.5846645367412137E-2</v>
      </c>
      <c r="H23" s="401">
        <f>IF(ISNUMBER((Datos!M23-Datos!W23)/Datos!W23),(Datos!M23-Datos!W23)/Datos!W23," - ")</f>
        <v>-0.27777777777777779</v>
      </c>
      <c r="I23" s="402">
        <f>IF(ISNUMBER((Tasas!C23-Datos!BE23)/Datos!BE23),(Tasas!C23-Datos!BE23)/Datos!BE23," - ")</f>
        <v>0.51226837060702879</v>
      </c>
      <c r="J23" s="400">
        <f>IF(ISNUMBER((Tasas!D23-Datos!BF23)/Datos!BF23),(Tasas!D23-Datos!BF23)/Datos!BF23," - ")</f>
        <v>-3.3333333333333249E-3</v>
      </c>
      <c r="K23" s="403">
        <f>IF(ISNUMBER((Tasas!E23-Datos!BG23)/Datos!BG23),(Tasas!E23-Datos!BG23)/Datos!BG23," - ")</f>
        <v>0.3397235023041475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0.10307234886025768</v>
      </c>
      <c r="E31" s="409">
        <f>IF(ISNUMBER(
   IF(J_V="SI",(Datos!J31-Datos!T31)/Datos!T31,(Datos!J31+Datos!Z31-(Datos!T31+Datos!AH31))/(Datos!T31+Datos!AH31))
     ),IF(J_V="SI",(Datos!J31-Datos!T31)/Datos!T31,(Datos!J31+Datos!Z31-(Datos!T31+Datos!AH31))/(Datos!T31+Datos!AH31))," - ")</f>
        <v>-8.1967213114754103E-3</v>
      </c>
      <c r="F31" s="409">
        <f>IF(ISNUMBER(
   IF(J_V="SI",(Datos!K31-Datos!U31)/Datos!U31,(Datos!K31+Datos!AA31-(Datos!U31+Datos!AI31))/(Datos!U31+Datos!AI31))
     ),IF(J_V="SI",(Datos!K31-Datos!U31)/Datos!U31,(Datos!K31+Datos!AA31-(Datos!U31+Datos!AI31))/(Datos!U31+Datos!AI31))," - ")</f>
        <v>-0.15868263473053892</v>
      </c>
      <c r="G31" s="410">
        <f>IF(ISNUMBER(
   IF(J_V="SI",(Datos!L31-Datos!V31)/Datos!V31,(Datos!L31+Datos!AB31-(Datos!V31+Datos!AJ31))/(Datos!V31+Datos!AJ31))
     ),IF(J_V="SI",(Datos!L31-Datos!V31)/Datos!V31,(Datos!L31+Datos!AB31-(Datos!V31+Datos!AJ31))/(Datos!V31+Datos!AJ31))," - ")</f>
        <v>9.916492693110647E-2</v>
      </c>
      <c r="H31" s="411">
        <f>IF(ISNUMBER((Datos!M31-Datos!W31)/Datos!W31),(Datos!M31-Datos!W31)/Datos!W31," - ")</f>
        <v>-0.10416666666666667</v>
      </c>
      <c r="I31" s="408">
        <f>IF(ISNUMBER((Tasas!C31-Datos!BE31)/Datos!BE31),(Tasas!C31-Datos!BE31)/Datos!BE31," - ")</f>
        <v>0.30648073165476708</v>
      </c>
      <c r="J31" s="409">
        <f>IF(ISNUMBER((Tasas!D31-Datos!BF31)/Datos!BF31),(Tasas!D31-Datos!BF31)/Datos!BF31," - ")</f>
        <v>-0.16667956057558408</v>
      </c>
      <c r="K31" s="410">
        <f>IF(ISNUMBER((Tasas!E31-Datos!BG31)/Datos!BG31),(Tasas!E31-Datos!BG31)/Datos!BG31," - ")</f>
        <v>0.26129437133329958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0.76904590534073602</v>
      </c>
      <c r="E33" s="303">
        <f t="shared" si="1"/>
        <v>0.23117029571319875</v>
      </c>
      <c r="F33" s="303">
        <f t="shared" si="1"/>
        <v>0.35475536947570729</v>
      </c>
      <c r="G33" s="304">
        <f t="shared" si="1"/>
        <v>0.60687368036314848</v>
      </c>
      <c r="H33" s="310">
        <f t="shared" si="1"/>
        <v>0.43668437180823438</v>
      </c>
      <c r="I33" s="302">
        <f t="shared" si="1"/>
        <v>0.90631374588394042</v>
      </c>
      <c r="J33" s="303">
        <f t="shared" si="1"/>
        <v>0.40309592745017253</v>
      </c>
      <c r="K33" s="304">
        <f t="shared" si="1"/>
        <v>0.50492133153889296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z+7V9OnBwsSAiMCRT7UxMmB7wiGs3lGzR3jCVLSc/DSKhftkqrY/7VnVvjeEIv8IZNo5x99eWQL0N/2FLJvwA==" saltValue="9FvWXBaov578FvI8TyDeI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